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5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6.xml" ContentType="application/vnd.openxmlformats-officedocument.drawing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7.xml" ContentType="application/vnd.openxmlformats-officedocument.drawing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cke\OneDrive\Documents\Report Stuff\Purchase Analysis\Monthly Dashboards\2026\"/>
    </mc:Choice>
  </mc:AlternateContent>
  <xr:revisionPtr revIDLastSave="0" documentId="8_{6D279F2F-A87B-4AEA-A4C3-65A1D682FEF5}" xr6:coauthVersionLast="47" xr6:coauthVersionMax="47" xr10:uidLastSave="{00000000-0000-0000-0000-000000000000}"/>
  <bookViews>
    <workbookView xWindow="-120" yWindow="-120" windowWidth="29040" windowHeight="15720" tabRatio="857" xr2:uid="{00000000-000D-0000-FFFF-FFFF00000000}"/>
  </bookViews>
  <sheets>
    <sheet name="January 2026 - Dashboard" sheetId="2" r:id="rId1"/>
    <sheet name="BM -ALL- Stock" sheetId="1" r:id="rId2"/>
    <sheet name="L - All" sheetId="3" r:id="rId3"/>
    <sheet name="L - Stock" sheetId="10" r:id="rId4"/>
    <sheet name="L - SO" sheetId="11" r:id="rId5"/>
    <sheet name="M - All" sheetId="4" r:id="rId6"/>
    <sheet name="M - Stock" sheetId="12" r:id="rId7"/>
    <sheet name="M - SO" sheetId="13" r:id="rId8"/>
    <sheet name="HW - All" sheetId="5" r:id="rId9"/>
    <sheet name="HW - Stock" sheetId="14" r:id="rId10"/>
    <sheet name="HW - SO" sheetId="15" r:id="rId11"/>
    <sheet name="P - All" sheetId="6" r:id="rId12"/>
    <sheet name="P - Stock" sheetId="16" r:id="rId13"/>
    <sheet name="P - SO" sheetId="17" r:id="rId14"/>
    <sheet name="OL - All" sheetId="7" r:id="rId15"/>
    <sheet name="OL - Stock" sheetId="18" r:id="rId16"/>
    <sheet name="OL - SO" sheetId="19" r:id="rId17"/>
    <sheet name="ChartLabels" sheetId="20" state="hidden" r:id="rId18"/>
  </sheets>
  <definedNames>
    <definedName name="_xlnm.Print_Area" localSheetId="11">'P - All'!$A$1:$Q$17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8" l="1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" i="7"/>
  <c r="C8" i="16"/>
  <c r="C5" i="17"/>
  <c r="C3" i="6"/>
  <c r="C4" i="6"/>
  <c r="C5" i="6"/>
  <c r="C6" i="6"/>
  <c r="C7" i="6"/>
  <c r="C8" i="6"/>
  <c r="C9" i="6"/>
  <c r="C10" i="6"/>
  <c r="C11" i="6"/>
  <c r="C12" i="6"/>
  <c r="C2" i="6"/>
  <c r="C5" i="15"/>
  <c r="C47" i="14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2" i="5"/>
  <c r="C14" i="13"/>
  <c r="C17" i="12"/>
  <c r="J29" i="4"/>
  <c r="K29" i="4"/>
  <c r="L29" i="4"/>
  <c r="M29" i="4"/>
  <c r="N29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" i="4"/>
  <c r="C5" i="11"/>
  <c r="C29" i="10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2" i="3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2" i="1"/>
  <c r="C15" i="6"/>
  <c r="V7" i="6"/>
  <c r="O7" i="6"/>
  <c r="I7" i="6"/>
  <c r="V6" i="6"/>
  <c r="O6" i="6"/>
  <c r="I6" i="6"/>
  <c r="V5" i="6"/>
  <c r="O5" i="6"/>
  <c r="I5" i="6"/>
  <c r="J50" i="5"/>
  <c r="K50" i="5"/>
  <c r="L50" i="5"/>
  <c r="M50" i="5"/>
  <c r="N50" i="5"/>
  <c r="I8" i="7"/>
  <c r="O8" i="7"/>
  <c r="V8" i="7"/>
  <c r="I9" i="7"/>
  <c r="O9" i="7"/>
  <c r="V9" i="7"/>
  <c r="I10" i="7"/>
  <c r="O10" i="7"/>
  <c r="V10" i="7"/>
  <c r="I14" i="7"/>
  <c r="O14" i="7"/>
  <c r="V14" i="7"/>
  <c r="I15" i="7"/>
  <c r="O15" i="7"/>
  <c r="V15" i="7"/>
  <c r="I16" i="7"/>
  <c r="O16" i="7"/>
  <c r="V16" i="7"/>
  <c r="D50" i="5"/>
  <c r="E50" i="5"/>
  <c r="F50" i="5"/>
  <c r="G50" i="5"/>
  <c r="H50" i="5"/>
  <c r="V19" i="7"/>
  <c r="O19" i="7"/>
  <c r="I19" i="7"/>
  <c r="V18" i="7"/>
  <c r="O18" i="7"/>
  <c r="I18" i="7"/>
  <c r="V17" i="7"/>
  <c r="O17" i="7"/>
  <c r="I17" i="7"/>
  <c r="V3" i="7"/>
  <c r="V4" i="7"/>
  <c r="V5" i="7"/>
  <c r="V6" i="7"/>
  <c r="V7" i="7"/>
  <c r="V11" i="7"/>
  <c r="V12" i="7"/>
  <c r="V13" i="7"/>
  <c r="V20" i="7"/>
  <c r="V21" i="7"/>
  <c r="V22" i="7"/>
  <c r="V2" i="7"/>
  <c r="O3" i="7"/>
  <c r="O4" i="7"/>
  <c r="O5" i="7"/>
  <c r="O6" i="7"/>
  <c r="O7" i="7"/>
  <c r="O11" i="7"/>
  <c r="O12" i="7"/>
  <c r="O13" i="7"/>
  <c r="O20" i="7"/>
  <c r="O21" i="7"/>
  <c r="O22" i="7"/>
  <c r="O2" i="7"/>
  <c r="I3" i="7"/>
  <c r="I4" i="7"/>
  <c r="I5" i="7"/>
  <c r="I6" i="7"/>
  <c r="I7" i="7"/>
  <c r="I11" i="7"/>
  <c r="I12" i="7"/>
  <c r="I13" i="7"/>
  <c r="I20" i="7"/>
  <c r="I21" i="7"/>
  <c r="I22" i="7"/>
  <c r="I2" i="7"/>
  <c r="V3" i="6"/>
  <c r="V4" i="6"/>
  <c r="V8" i="6"/>
  <c r="V9" i="6"/>
  <c r="V10" i="6"/>
  <c r="V2" i="6"/>
  <c r="O3" i="6"/>
  <c r="O4" i="6"/>
  <c r="O8" i="6"/>
  <c r="O9" i="6"/>
  <c r="O10" i="6"/>
  <c r="O2" i="6"/>
  <c r="I3" i="6"/>
  <c r="I4" i="6"/>
  <c r="I8" i="6"/>
  <c r="I9" i="6"/>
  <c r="I10" i="6"/>
  <c r="I2" i="6"/>
  <c r="V3" i="5"/>
  <c r="V4" i="5"/>
  <c r="V5" i="5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2" i="5"/>
  <c r="O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2" i="5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" i="4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2" i="3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2" i="1"/>
  <c r="N21" i="2"/>
  <c r="N11" i="6"/>
  <c r="N12" i="6" s="1"/>
  <c r="L11" i="6"/>
  <c r="L12" i="6" s="1"/>
  <c r="K11" i="6"/>
  <c r="K12" i="6" s="1"/>
  <c r="H11" i="6"/>
  <c r="F11" i="6"/>
  <c r="F12" i="6" s="1"/>
  <c r="E11" i="6"/>
  <c r="C17" i="6"/>
  <c r="C16" i="6"/>
  <c r="AO21" i="2"/>
  <c r="C5" i="16" l="1" a="1"/>
  <c r="C5" i="16" s="1"/>
  <c r="E12" i="6"/>
  <c r="H12" i="6"/>
  <c r="S15" i="2"/>
  <c r="V15" i="2"/>
  <c r="C17" i="18" a="1"/>
  <c r="C17" i="18" s="1"/>
  <c r="C2" i="19" a="1"/>
  <c r="C2" i="19" s="1"/>
  <c r="T15" i="2"/>
  <c r="J15" i="2"/>
  <c r="G15" i="2"/>
  <c r="AM21" i="2"/>
  <c r="AL21" i="2"/>
  <c r="AK21" i="2"/>
  <c r="AM12" i="2"/>
  <c r="AL12" i="2"/>
  <c r="AK12" i="2"/>
  <c r="AM18" i="2"/>
  <c r="AL18" i="2"/>
  <c r="AK18" i="2"/>
  <c r="AM15" i="2"/>
  <c r="AL15" i="2"/>
  <c r="AK15" i="2"/>
  <c r="AM9" i="2"/>
  <c r="AL9" i="2"/>
  <c r="AK9" i="2"/>
  <c r="AM6" i="2"/>
  <c r="AL6" i="2"/>
  <c r="AK6" i="2"/>
  <c r="Z21" i="2"/>
  <c r="Y21" i="2"/>
  <c r="X21" i="2"/>
  <c r="Z18" i="2"/>
  <c r="Z15" i="2"/>
  <c r="Z12" i="2"/>
  <c r="Z9" i="2"/>
  <c r="Z6" i="2"/>
  <c r="Y18" i="2"/>
  <c r="Y15" i="2"/>
  <c r="Y12" i="2"/>
  <c r="Y9" i="2"/>
  <c r="Y6" i="2"/>
  <c r="X18" i="2"/>
  <c r="X15" i="2"/>
  <c r="X12" i="2"/>
  <c r="X9" i="2"/>
  <c r="X6" i="2"/>
  <c r="M21" i="2"/>
  <c r="L21" i="2"/>
  <c r="H15" i="2" l="1"/>
  <c r="N18" i="2"/>
  <c r="M18" i="2"/>
  <c r="L18" i="2"/>
  <c r="N15" i="2"/>
  <c r="M15" i="2"/>
  <c r="L15" i="2"/>
  <c r="N12" i="2"/>
  <c r="M12" i="2"/>
  <c r="L12" i="2"/>
  <c r="N9" i="2"/>
  <c r="M9" i="2"/>
  <c r="L9" i="2"/>
  <c r="N6" i="2"/>
  <c r="M6" i="2"/>
  <c r="L6" i="2"/>
  <c r="AM4" i="2"/>
  <c r="AM3" i="2"/>
  <c r="AL4" i="2"/>
  <c r="AL3" i="2"/>
  <c r="AK4" i="2"/>
  <c r="AK3" i="2"/>
  <c r="Z4" i="2"/>
  <c r="Z3" i="2"/>
  <c r="Y4" i="2"/>
  <c r="Y3" i="2"/>
  <c r="X4" i="2"/>
  <c r="X3" i="2"/>
  <c r="N4" i="2"/>
  <c r="N3" i="2"/>
  <c r="M4" i="2"/>
  <c r="M3" i="2"/>
  <c r="L4" i="2"/>
  <c r="L3" i="2" l="1"/>
  <c r="AE12" i="2"/>
  <c r="R12" i="2"/>
  <c r="F12" i="2"/>
  <c r="AE9" i="2"/>
  <c r="R9" i="2"/>
  <c r="F9" i="2"/>
  <c r="AD12" i="2"/>
  <c r="Q12" i="2"/>
  <c r="AD9" i="2"/>
  <c r="Q9" i="2"/>
  <c r="E12" i="2"/>
  <c r="E9" i="2"/>
  <c r="AE6" i="2"/>
  <c r="R6" i="2"/>
  <c r="AD6" i="2"/>
  <c r="Q6" i="2"/>
  <c r="F6" i="2"/>
  <c r="E6" i="2"/>
  <c r="AE15" i="2"/>
  <c r="R15" i="2"/>
  <c r="AD15" i="2"/>
  <c r="Q15" i="2"/>
  <c r="F15" i="2"/>
  <c r="E15" i="2"/>
  <c r="AE18" i="2"/>
  <c r="R18" i="2"/>
  <c r="AD18" i="2"/>
  <c r="Q18" i="2"/>
  <c r="F18" i="2"/>
  <c r="E18" i="2"/>
  <c r="AC18" i="2"/>
  <c r="AC15" i="2"/>
  <c r="AC12" i="2"/>
  <c r="AC9" i="2"/>
  <c r="AC6" i="2"/>
  <c r="P18" i="2"/>
  <c r="P15" i="2"/>
  <c r="P12" i="2"/>
  <c r="P9" i="2"/>
  <c r="P6" i="2"/>
  <c r="D18" i="2"/>
  <c r="D15" i="2"/>
  <c r="D12" i="2"/>
  <c r="D9" i="2"/>
  <c r="D6" i="2"/>
  <c r="AE4" i="2"/>
  <c r="AE3" i="2"/>
  <c r="AD4" i="2"/>
  <c r="AD3" i="2"/>
  <c r="R4" i="2"/>
  <c r="R3" i="2"/>
  <c r="Q4" i="2"/>
  <c r="Q3" i="2"/>
  <c r="AC4" i="2"/>
  <c r="P4" i="2"/>
  <c r="AC3" i="2"/>
  <c r="P3" i="2"/>
  <c r="F4" i="2"/>
  <c r="F3" i="2"/>
  <c r="E4" i="2"/>
  <c r="E3" i="2"/>
  <c r="D4" i="2"/>
  <c r="D3" i="2"/>
  <c r="R20" i="2"/>
  <c r="C2" i="18" a="1"/>
  <c r="C2" i="17" a="1"/>
  <c r="F17" i="2" s="1"/>
  <c r="C2" i="16" a="1"/>
  <c r="C44" i="14" a="1"/>
  <c r="C44" i="14" s="1"/>
  <c r="C2" i="14" a="1"/>
  <c r="C2" i="15" a="1"/>
  <c r="C2" i="13" a="1"/>
  <c r="T14" i="13" s="1"/>
  <c r="C2" i="12" a="1"/>
  <c r="F10" i="2" s="1"/>
  <c r="C2" i="11" a="1"/>
  <c r="AC8" i="2" s="1"/>
  <c r="C23" i="10" a="1"/>
  <c r="C23" i="10" s="1"/>
  <c r="C2" i="10" a="1"/>
  <c r="U23" i="7"/>
  <c r="AI18" i="2" s="1"/>
  <c r="T23" i="7"/>
  <c r="S23" i="7"/>
  <c r="AG18" i="2" s="1"/>
  <c r="R23" i="7"/>
  <c r="AF18" i="2" s="1"/>
  <c r="Q23" i="7"/>
  <c r="AB18" i="2" s="1"/>
  <c r="P23" i="7"/>
  <c r="AA18" i="2" s="1"/>
  <c r="N23" i="7"/>
  <c r="V18" i="2" s="1"/>
  <c r="M23" i="7"/>
  <c r="L23" i="7"/>
  <c r="T18" i="2" s="1"/>
  <c r="K23" i="7"/>
  <c r="S18" i="2" s="1"/>
  <c r="J23" i="7"/>
  <c r="O18" i="2" s="1"/>
  <c r="H23" i="7"/>
  <c r="J18" i="2" s="1"/>
  <c r="G23" i="7"/>
  <c r="F23" i="7"/>
  <c r="H18" i="2" s="1"/>
  <c r="E23" i="7"/>
  <c r="G18" i="2" s="1"/>
  <c r="D23" i="7"/>
  <c r="U11" i="6"/>
  <c r="T11" i="6"/>
  <c r="S11" i="6"/>
  <c r="R11" i="6"/>
  <c r="Q11" i="6"/>
  <c r="Q12" i="6" s="1"/>
  <c r="AB15" i="2" s="1"/>
  <c r="P11" i="6"/>
  <c r="P12" i="6" s="1"/>
  <c r="AA15" i="2" s="1"/>
  <c r="M11" i="6"/>
  <c r="J11" i="6"/>
  <c r="J12" i="6" s="1"/>
  <c r="O15" i="2" s="1"/>
  <c r="G11" i="6"/>
  <c r="D11" i="6"/>
  <c r="U50" i="5"/>
  <c r="AI12" i="2" s="1"/>
  <c r="T50" i="5"/>
  <c r="S50" i="5"/>
  <c r="AG12" i="2" s="1"/>
  <c r="R50" i="5"/>
  <c r="AF12" i="2" s="1"/>
  <c r="Q50" i="5"/>
  <c r="AB12" i="2" s="1"/>
  <c r="P50" i="5"/>
  <c r="AA12" i="2" s="1"/>
  <c r="V12" i="2"/>
  <c r="T12" i="2"/>
  <c r="S12" i="2"/>
  <c r="O12" i="2"/>
  <c r="J12" i="2"/>
  <c r="H12" i="2"/>
  <c r="G12" i="2"/>
  <c r="U29" i="4"/>
  <c r="AI9" i="2" s="1"/>
  <c r="T29" i="4"/>
  <c r="S29" i="4"/>
  <c r="R29" i="4"/>
  <c r="AF9" i="2" s="1"/>
  <c r="Q29" i="4"/>
  <c r="AB9" i="2" s="1"/>
  <c r="P29" i="4"/>
  <c r="AA9" i="2" s="1"/>
  <c r="V9" i="2"/>
  <c r="T9" i="2"/>
  <c r="S9" i="2"/>
  <c r="O9" i="2"/>
  <c r="H29" i="4"/>
  <c r="J9" i="2" s="1"/>
  <c r="G29" i="4"/>
  <c r="F29" i="4"/>
  <c r="H9" i="2" s="1"/>
  <c r="E29" i="4"/>
  <c r="G9" i="2" s="1"/>
  <c r="D29" i="4"/>
  <c r="U32" i="3"/>
  <c r="AI6" i="2" s="1"/>
  <c r="T32" i="3"/>
  <c r="S32" i="3"/>
  <c r="AG6" i="2" s="1"/>
  <c r="R32" i="3"/>
  <c r="AF6" i="2" s="1"/>
  <c r="Q32" i="3"/>
  <c r="AB6" i="2" s="1"/>
  <c r="P32" i="3"/>
  <c r="AA6" i="2" s="1"/>
  <c r="N32" i="3"/>
  <c r="V6" i="2" s="1"/>
  <c r="M32" i="3"/>
  <c r="L32" i="3"/>
  <c r="T6" i="2" s="1"/>
  <c r="K32" i="3"/>
  <c r="S6" i="2" s="1"/>
  <c r="J32" i="3"/>
  <c r="O6" i="2" s="1"/>
  <c r="H32" i="3"/>
  <c r="J6" i="2" s="1"/>
  <c r="G32" i="3"/>
  <c r="F32" i="3"/>
  <c r="E32" i="3"/>
  <c r="G6" i="2" s="1"/>
  <c r="D32" i="3"/>
  <c r="C32" i="3" s="1"/>
  <c r="J32" i="1"/>
  <c r="O4" i="2" s="1"/>
  <c r="K32" i="1"/>
  <c r="S3" i="2" s="1"/>
  <c r="L32" i="1"/>
  <c r="T3" i="2" s="1"/>
  <c r="M32" i="1"/>
  <c r="N32" i="1"/>
  <c r="V3" i="2" s="1"/>
  <c r="P32" i="1"/>
  <c r="AA4" i="2" s="1"/>
  <c r="Q32" i="1"/>
  <c r="AB4" i="2" s="1"/>
  <c r="R32" i="1"/>
  <c r="AF3" i="2" s="1"/>
  <c r="S32" i="1"/>
  <c r="T32" i="1"/>
  <c r="U32" i="1"/>
  <c r="AI3" i="2" s="1"/>
  <c r="S12" i="6" l="1"/>
  <c r="AG15" i="2" s="1"/>
  <c r="U12" i="6"/>
  <c r="AI15" i="2" s="1"/>
  <c r="AI21" i="2" s="1"/>
  <c r="R12" i="6"/>
  <c r="AF15" i="2" s="1"/>
  <c r="AF21" i="2" s="1"/>
  <c r="C29" i="4"/>
  <c r="U8" i="16"/>
  <c r="AI16" i="2" s="1"/>
  <c r="L8" i="16"/>
  <c r="T16" i="2" s="1"/>
  <c r="T8" i="16"/>
  <c r="K8" i="16"/>
  <c r="S16" i="2" s="1"/>
  <c r="S8" i="16"/>
  <c r="AG16" i="2" s="1"/>
  <c r="J8" i="16"/>
  <c r="O16" i="2" s="1"/>
  <c r="R8" i="16"/>
  <c r="AF16" i="2" s="1"/>
  <c r="H8" i="16"/>
  <c r="J16" i="2" s="1"/>
  <c r="Q8" i="16"/>
  <c r="AB16" i="2" s="1"/>
  <c r="G8" i="16"/>
  <c r="P8" i="16"/>
  <c r="AA16" i="2" s="1"/>
  <c r="F8" i="16"/>
  <c r="N8" i="16"/>
  <c r="V16" i="2" s="1"/>
  <c r="E8" i="16"/>
  <c r="G16" i="2" s="1"/>
  <c r="M8" i="16"/>
  <c r="D8" i="16"/>
  <c r="B18" i="2"/>
  <c r="B6" i="2"/>
  <c r="AC13" i="2"/>
  <c r="AH9" i="2"/>
  <c r="V29" i="4"/>
  <c r="AJ9" i="2" s="1"/>
  <c r="U9" i="2"/>
  <c r="O29" i="4"/>
  <c r="W9" i="2" s="1"/>
  <c r="I9" i="2"/>
  <c r="I29" i="4"/>
  <c r="K9" i="2" s="1"/>
  <c r="AH6" i="2"/>
  <c r="V32" i="3"/>
  <c r="AJ6" i="2" s="1"/>
  <c r="U6" i="2"/>
  <c r="O32" i="3"/>
  <c r="W6" i="2" s="1"/>
  <c r="I6" i="2"/>
  <c r="I32" i="3"/>
  <c r="K6" i="2" s="1"/>
  <c r="AH11" i="2"/>
  <c r="AH4" i="2"/>
  <c r="V32" i="1"/>
  <c r="AJ3" i="2" s="1"/>
  <c r="U4" i="2"/>
  <c r="O32" i="1"/>
  <c r="W3" i="2" s="1"/>
  <c r="AH18" i="2"/>
  <c r="V23" i="7"/>
  <c r="AJ18" i="2" s="1"/>
  <c r="U18" i="2"/>
  <c r="O23" i="7"/>
  <c r="W18" i="2" s="1"/>
  <c r="I18" i="2"/>
  <c r="I23" i="7"/>
  <c r="K18" i="2" s="1"/>
  <c r="T12" i="6"/>
  <c r="V11" i="6"/>
  <c r="M12" i="6"/>
  <c r="O12" i="6" s="1"/>
  <c r="W15" i="2" s="1"/>
  <c r="O11" i="6"/>
  <c r="G12" i="6"/>
  <c r="I12" i="6" s="1"/>
  <c r="K15" i="2" s="1"/>
  <c r="I11" i="6"/>
  <c r="AH12" i="2"/>
  <c r="V50" i="5"/>
  <c r="AJ12" i="2" s="1"/>
  <c r="U12" i="2"/>
  <c r="O50" i="5"/>
  <c r="W12" i="2" s="1"/>
  <c r="I12" i="2"/>
  <c r="I50" i="5"/>
  <c r="K12" i="2" s="1"/>
  <c r="B12" i="2"/>
  <c r="B9" i="2"/>
  <c r="D12" i="6"/>
  <c r="B15" i="2"/>
  <c r="T29" i="10"/>
  <c r="C9" i="2"/>
  <c r="AN9" i="2" s="1"/>
  <c r="C18" i="2"/>
  <c r="AN18" i="2" s="1"/>
  <c r="AP18" i="2" s="1"/>
  <c r="C12" i="2"/>
  <c r="AN12" i="2" s="1"/>
  <c r="AP12" i="2" s="1"/>
  <c r="AG9" i="2"/>
  <c r="L5" i="11"/>
  <c r="T8" i="2" s="1"/>
  <c r="T5" i="11"/>
  <c r="U5" i="11"/>
  <c r="AI8" i="2" s="1"/>
  <c r="K5" i="11"/>
  <c r="S8" i="2" s="1"/>
  <c r="C6" i="2"/>
  <c r="AN6" i="2" s="1"/>
  <c r="H6" i="2"/>
  <c r="F5" i="19"/>
  <c r="P5" i="19"/>
  <c r="AA20" i="2" s="1"/>
  <c r="Q5" i="19"/>
  <c r="AB20" i="2" s="1"/>
  <c r="R5" i="19"/>
  <c r="AF20" i="2" s="1"/>
  <c r="J5" i="19"/>
  <c r="O20" i="2" s="1"/>
  <c r="S5" i="19"/>
  <c r="AG20" i="2" s="1"/>
  <c r="AC20" i="2"/>
  <c r="AD20" i="2"/>
  <c r="K5" i="19"/>
  <c r="S20" i="2" s="1"/>
  <c r="T5" i="19"/>
  <c r="G5" i="19"/>
  <c r="L5" i="19"/>
  <c r="T20" i="2" s="1"/>
  <c r="E20" i="2"/>
  <c r="D5" i="19"/>
  <c r="C5" i="19" s="1"/>
  <c r="M5" i="19"/>
  <c r="AM20" i="2"/>
  <c r="AL20" i="2"/>
  <c r="X20" i="2"/>
  <c r="Y20" i="2"/>
  <c r="Z20" i="2"/>
  <c r="AK20" i="2"/>
  <c r="L20" i="2"/>
  <c r="N20" i="2"/>
  <c r="M20" i="2"/>
  <c r="H5" i="19"/>
  <c r="J20" i="2" s="1"/>
  <c r="Q20" i="2"/>
  <c r="U5" i="19"/>
  <c r="AI20" i="2" s="1"/>
  <c r="P20" i="2"/>
  <c r="E5" i="19"/>
  <c r="G20" i="2" s="1"/>
  <c r="N5" i="19"/>
  <c r="V20" i="2" s="1"/>
  <c r="D20" i="2"/>
  <c r="F20" i="2"/>
  <c r="AE20" i="2"/>
  <c r="C2" i="18"/>
  <c r="AL19" i="2"/>
  <c r="Z19" i="2"/>
  <c r="AK19" i="2"/>
  <c r="X19" i="2"/>
  <c r="Y19" i="2"/>
  <c r="AM19" i="2"/>
  <c r="N19" i="2"/>
  <c r="M19" i="2"/>
  <c r="L19" i="2"/>
  <c r="AD19" i="2"/>
  <c r="S20" i="18"/>
  <c r="AG19" i="2" s="1"/>
  <c r="K20" i="18"/>
  <c r="S19" i="2" s="1"/>
  <c r="T20" i="18"/>
  <c r="F19" i="2"/>
  <c r="Q19" i="2"/>
  <c r="Q20" i="18"/>
  <c r="AB19" i="2" s="1"/>
  <c r="H20" i="18"/>
  <c r="J19" i="2" s="1"/>
  <c r="L20" i="18"/>
  <c r="U20" i="18"/>
  <c r="AI19" i="2" s="1"/>
  <c r="F20" i="18"/>
  <c r="H19" i="2" s="1"/>
  <c r="D19" i="2"/>
  <c r="G20" i="18"/>
  <c r="R20" i="18"/>
  <c r="AF19" i="2" s="1"/>
  <c r="D20" i="18"/>
  <c r="M20" i="18"/>
  <c r="AC19" i="2"/>
  <c r="R19" i="2"/>
  <c r="P20" i="18"/>
  <c r="AA19" i="2" s="1"/>
  <c r="E19" i="2"/>
  <c r="J20" i="18"/>
  <c r="O19" i="2" s="1"/>
  <c r="E20" i="18"/>
  <c r="G19" i="2" s="1"/>
  <c r="N20" i="18"/>
  <c r="V19" i="2" s="1"/>
  <c r="P19" i="2"/>
  <c r="AE19" i="2"/>
  <c r="G5" i="17"/>
  <c r="E5" i="17"/>
  <c r="G17" i="2" s="1"/>
  <c r="N5" i="17"/>
  <c r="V17" i="2" s="1"/>
  <c r="F5" i="17"/>
  <c r="H17" i="2" s="1"/>
  <c r="C2" i="17"/>
  <c r="AM17" i="2"/>
  <c r="AK17" i="2"/>
  <c r="Z17" i="2"/>
  <c r="Y17" i="2"/>
  <c r="X17" i="2"/>
  <c r="AL17" i="2"/>
  <c r="N17" i="2"/>
  <c r="M17" i="2"/>
  <c r="L17" i="2"/>
  <c r="AE17" i="2"/>
  <c r="H5" i="17"/>
  <c r="J17" i="2" s="1"/>
  <c r="J5" i="17"/>
  <c r="O17" i="2" s="1"/>
  <c r="R5" i="17"/>
  <c r="AF17" i="2" s="1"/>
  <c r="Q16" i="2"/>
  <c r="R17" i="2"/>
  <c r="Q5" i="17"/>
  <c r="AB17" i="2" s="1"/>
  <c r="K5" i="17"/>
  <c r="S17" i="2" s="1"/>
  <c r="S5" i="17"/>
  <c r="AG17" i="2" s="1"/>
  <c r="D17" i="2"/>
  <c r="P16" i="2"/>
  <c r="AD16" i="2"/>
  <c r="L5" i="17"/>
  <c r="T5" i="17"/>
  <c r="P17" i="2"/>
  <c r="AC16" i="2"/>
  <c r="E16" i="2"/>
  <c r="Q17" i="2"/>
  <c r="P5" i="17"/>
  <c r="AA17" i="2" s="1"/>
  <c r="D5" i="17"/>
  <c r="M5" i="17"/>
  <c r="U5" i="17"/>
  <c r="AI17" i="2" s="1"/>
  <c r="AC17" i="2"/>
  <c r="E17" i="2"/>
  <c r="AD17" i="2"/>
  <c r="C2" i="16"/>
  <c r="AK16" i="2"/>
  <c r="Z16" i="2"/>
  <c r="AL16" i="2"/>
  <c r="X16" i="2"/>
  <c r="AM16" i="2"/>
  <c r="Y16" i="2"/>
  <c r="N16" i="2"/>
  <c r="M16" i="2"/>
  <c r="L16" i="2"/>
  <c r="F16" i="2"/>
  <c r="R16" i="2"/>
  <c r="D16" i="2"/>
  <c r="AE16" i="2"/>
  <c r="C2" i="15"/>
  <c r="Z14" i="2"/>
  <c r="AL14" i="2"/>
  <c r="Y14" i="2"/>
  <c r="AK14" i="2"/>
  <c r="AM14" i="2"/>
  <c r="X14" i="2"/>
  <c r="N14" i="2"/>
  <c r="M14" i="2"/>
  <c r="L14" i="2"/>
  <c r="P14" i="2"/>
  <c r="F14" i="2"/>
  <c r="L5" i="15"/>
  <c r="T14" i="2" s="1"/>
  <c r="M5" i="15"/>
  <c r="F5" i="15"/>
  <c r="H14" i="2" s="1"/>
  <c r="G5" i="15"/>
  <c r="Q5" i="15"/>
  <c r="AB14" i="2" s="1"/>
  <c r="E14" i="2"/>
  <c r="K5" i="15"/>
  <c r="S14" i="2" s="1"/>
  <c r="U5" i="15"/>
  <c r="AI14" i="2" s="1"/>
  <c r="D5" i="15"/>
  <c r="P5" i="15"/>
  <c r="AA14" i="2" s="1"/>
  <c r="AE14" i="2"/>
  <c r="H5" i="15"/>
  <c r="J14" i="2" s="1"/>
  <c r="R5" i="15"/>
  <c r="AF14" i="2" s="1"/>
  <c r="D14" i="2"/>
  <c r="T5" i="15"/>
  <c r="J5" i="15"/>
  <c r="O14" i="2" s="1"/>
  <c r="S5" i="15"/>
  <c r="AG14" i="2" s="1"/>
  <c r="AC14" i="2"/>
  <c r="Q14" i="2"/>
  <c r="E5" i="15"/>
  <c r="G14" i="2" s="1"/>
  <c r="N5" i="15"/>
  <c r="V14" i="2" s="1"/>
  <c r="AD14" i="2"/>
  <c r="R14" i="2"/>
  <c r="E13" i="2"/>
  <c r="D47" i="14"/>
  <c r="M47" i="14"/>
  <c r="P13" i="2"/>
  <c r="L47" i="14"/>
  <c r="T13" i="2" s="1"/>
  <c r="F47" i="14"/>
  <c r="H13" i="2" s="1"/>
  <c r="P47" i="14"/>
  <c r="AA13" i="2" s="1"/>
  <c r="AE13" i="2"/>
  <c r="G47" i="14"/>
  <c r="Q47" i="14"/>
  <c r="AB13" i="2" s="1"/>
  <c r="C2" i="14"/>
  <c r="AK13" i="2"/>
  <c r="Z13" i="2"/>
  <c r="Y13" i="2"/>
  <c r="X13" i="2"/>
  <c r="AM13" i="2"/>
  <c r="AL13" i="2"/>
  <c r="L13" i="2"/>
  <c r="N13" i="2"/>
  <c r="M13" i="2"/>
  <c r="N47" i="14"/>
  <c r="V13" i="2" s="1"/>
  <c r="H47" i="14"/>
  <c r="J13" i="2" s="1"/>
  <c r="R47" i="14"/>
  <c r="AF13" i="2" s="1"/>
  <c r="U47" i="14"/>
  <c r="AI13" i="2" s="1"/>
  <c r="E47" i="14"/>
  <c r="G13" i="2" s="1"/>
  <c r="J47" i="14"/>
  <c r="O13" i="2" s="1"/>
  <c r="S47" i="14"/>
  <c r="AG13" i="2" s="1"/>
  <c r="D13" i="2"/>
  <c r="Q13" i="2"/>
  <c r="F13" i="2"/>
  <c r="R13" i="2"/>
  <c r="K47" i="14"/>
  <c r="S13" i="2" s="1"/>
  <c r="T47" i="14"/>
  <c r="AD13" i="2"/>
  <c r="H14" i="13"/>
  <c r="J11" i="2" s="1"/>
  <c r="R11" i="2"/>
  <c r="AC11" i="2"/>
  <c r="K14" i="13"/>
  <c r="S11" i="2" s="1"/>
  <c r="C2" i="13"/>
  <c r="Y11" i="2"/>
  <c r="AL11" i="2"/>
  <c r="Z11" i="2"/>
  <c r="AK11" i="2"/>
  <c r="X11" i="2"/>
  <c r="AM11" i="2"/>
  <c r="M11" i="2"/>
  <c r="L11" i="2"/>
  <c r="N11" i="2"/>
  <c r="L14" i="13"/>
  <c r="U14" i="13"/>
  <c r="AI11" i="2" s="1"/>
  <c r="R14" i="13"/>
  <c r="AF11" i="2" s="1"/>
  <c r="D14" i="13"/>
  <c r="M14" i="13"/>
  <c r="Q11" i="2"/>
  <c r="E14" i="13"/>
  <c r="G11" i="2" s="1"/>
  <c r="N14" i="13"/>
  <c r="V11" i="2" s="1"/>
  <c r="P11" i="2"/>
  <c r="AD11" i="2"/>
  <c r="J14" i="13"/>
  <c r="O11" i="2" s="1"/>
  <c r="D11" i="2"/>
  <c r="F14" i="13"/>
  <c r="P14" i="13"/>
  <c r="AA11" i="2" s="1"/>
  <c r="E11" i="2"/>
  <c r="S14" i="13"/>
  <c r="V14" i="13" s="1"/>
  <c r="AE11" i="2"/>
  <c r="G14" i="13"/>
  <c r="Q14" i="13"/>
  <c r="AB11" i="2" s="1"/>
  <c r="F11" i="2"/>
  <c r="E17" i="12"/>
  <c r="G10" i="2" s="1"/>
  <c r="N17" i="12"/>
  <c r="V10" i="2" s="1"/>
  <c r="AC10" i="2"/>
  <c r="F17" i="12"/>
  <c r="P17" i="12"/>
  <c r="AA10" i="2" s="1"/>
  <c r="G17" i="12"/>
  <c r="Q17" i="12"/>
  <c r="AB10" i="2" s="1"/>
  <c r="C2" i="12"/>
  <c r="X10" i="2"/>
  <c r="AM10" i="2"/>
  <c r="Y10" i="2"/>
  <c r="AK10" i="2"/>
  <c r="AL10" i="2"/>
  <c r="Z10" i="2"/>
  <c r="L10" i="2"/>
  <c r="N10" i="2"/>
  <c r="M10" i="2"/>
  <c r="R10" i="2"/>
  <c r="K17" i="12"/>
  <c r="S10" i="2" s="1"/>
  <c r="T17" i="12"/>
  <c r="Q10" i="2"/>
  <c r="AE10" i="2"/>
  <c r="H17" i="12"/>
  <c r="J10" i="2" s="1"/>
  <c r="P10" i="2"/>
  <c r="J17" i="12"/>
  <c r="O10" i="2" s="1"/>
  <c r="S17" i="12"/>
  <c r="AG10" i="2" s="1"/>
  <c r="L17" i="12"/>
  <c r="U17" i="12"/>
  <c r="AI10" i="2" s="1"/>
  <c r="D10" i="2"/>
  <c r="AD10" i="2"/>
  <c r="D17" i="12"/>
  <c r="M17" i="12"/>
  <c r="E10" i="2"/>
  <c r="R17" i="12"/>
  <c r="AF10" i="2" s="1"/>
  <c r="D8" i="2"/>
  <c r="E5" i="11"/>
  <c r="G8" i="2" s="1"/>
  <c r="N5" i="11"/>
  <c r="V8" i="2" s="1"/>
  <c r="AD8" i="2"/>
  <c r="F5" i="11"/>
  <c r="H8" i="2" s="1"/>
  <c r="P5" i="11"/>
  <c r="AA8" i="2" s="1"/>
  <c r="R8" i="2"/>
  <c r="G5" i="11"/>
  <c r="P8" i="2"/>
  <c r="F8" i="2"/>
  <c r="D5" i="11"/>
  <c r="M5" i="11"/>
  <c r="Q5" i="11"/>
  <c r="AB8" i="2" s="1"/>
  <c r="AE8" i="2"/>
  <c r="H5" i="11"/>
  <c r="J8" i="2" s="1"/>
  <c r="R5" i="11"/>
  <c r="AF8" i="2" s="1"/>
  <c r="J5" i="11"/>
  <c r="O8" i="2" s="1"/>
  <c r="S5" i="11"/>
  <c r="AG8" i="2" s="1"/>
  <c r="C2" i="11"/>
  <c r="X8" i="2"/>
  <c r="Y8" i="2"/>
  <c r="AM8" i="2"/>
  <c r="AL8" i="2"/>
  <c r="AK8" i="2"/>
  <c r="Z8" i="2"/>
  <c r="N8" i="2"/>
  <c r="M8" i="2"/>
  <c r="L8" i="2"/>
  <c r="E8" i="2"/>
  <c r="Q8" i="2"/>
  <c r="U29" i="10"/>
  <c r="AI7" i="2" s="1"/>
  <c r="D29" i="10"/>
  <c r="E29" i="10"/>
  <c r="G7" i="2" s="1"/>
  <c r="N29" i="10"/>
  <c r="V7" i="2" s="1"/>
  <c r="F7" i="2"/>
  <c r="R7" i="2"/>
  <c r="F29" i="10"/>
  <c r="P29" i="10"/>
  <c r="AA7" i="2" s="1"/>
  <c r="P7" i="2"/>
  <c r="AE7" i="2"/>
  <c r="H29" i="10"/>
  <c r="J7" i="2" s="1"/>
  <c r="R29" i="10"/>
  <c r="AF7" i="2" s="1"/>
  <c r="L29" i="10"/>
  <c r="M29" i="10"/>
  <c r="Q29" i="10"/>
  <c r="AB7" i="2" s="1"/>
  <c r="AC7" i="2"/>
  <c r="J29" i="10"/>
  <c r="O7" i="2" s="1"/>
  <c r="S29" i="10"/>
  <c r="D7" i="2"/>
  <c r="E7" i="2"/>
  <c r="G29" i="10"/>
  <c r="K29" i="10"/>
  <c r="S7" i="2" s="1"/>
  <c r="C2" i="10"/>
  <c r="Y7" i="2"/>
  <c r="AK7" i="2"/>
  <c r="Z7" i="2"/>
  <c r="AL7" i="2"/>
  <c r="AM7" i="2"/>
  <c r="X7" i="2"/>
  <c r="L7" i="2"/>
  <c r="M7" i="2"/>
  <c r="N7" i="2"/>
  <c r="Q7" i="2"/>
  <c r="AD7" i="2"/>
  <c r="AF4" i="2"/>
  <c r="AG4" i="2"/>
  <c r="AA3" i="2"/>
  <c r="AA21" i="2" s="1"/>
  <c r="AB3" i="2"/>
  <c r="AG3" i="2"/>
  <c r="AI4" i="2"/>
  <c r="AH3" i="2"/>
  <c r="S4" i="2"/>
  <c r="T4" i="2"/>
  <c r="U3" i="2"/>
  <c r="V4" i="2"/>
  <c r="O3" i="2"/>
  <c r="O21" i="2" s="1"/>
  <c r="R21" i="2"/>
  <c r="AE21" i="2"/>
  <c r="AD21" i="2"/>
  <c r="Q21" i="2"/>
  <c r="F21" i="2"/>
  <c r="E21" i="2"/>
  <c r="AC21" i="2"/>
  <c r="P21" i="2"/>
  <c r="D21" i="2"/>
  <c r="T21" i="2"/>
  <c r="V21" i="2"/>
  <c r="S21" i="2"/>
  <c r="B19" i="2" l="1"/>
  <c r="B14" i="2"/>
  <c r="B13" i="2"/>
  <c r="B11" i="2"/>
  <c r="B10" i="2"/>
  <c r="B8" i="2"/>
  <c r="B7" i="2"/>
  <c r="B17" i="2"/>
  <c r="B20" i="2"/>
  <c r="U15" i="2"/>
  <c r="U21" i="2" s="1"/>
  <c r="W21" i="2" s="1"/>
  <c r="I15" i="2"/>
  <c r="U17" i="2"/>
  <c r="O5" i="17"/>
  <c r="W17" i="2" s="1"/>
  <c r="AH17" i="2"/>
  <c r="V5" i="17"/>
  <c r="AJ17" i="2" s="1"/>
  <c r="I17" i="2"/>
  <c r="I5" i="17"/>
  <c r="K17" i="2" s="1"/>
  <c r="AH16" i="2"/>
  <c r="V8" i="16"/>
  <c r="AJ16" i="2" s="1"/>
  <c r="U16" i="2"/>
  <c r="O8" i="16"/>
  <c r="W16" i="2" s="1"/>
  <c r="I16" i="2"/>
  <c r="U14" i="2"/>
  <c r="O5" i="15"/>
  <c r="W14" i="2" s="1"/>
  <c r="I14" i="2"/>
  <c r="I5" i="15"/>
  <c r="K14" i="2" s="1"/>
  <c r="AH14" i="2"/>
  <c r="V5" i="15"/>
  <c r="AJ14" i="2" s="1"/>
  <c r="U13" i="2"/>
  <c r="O47" i="14"/>
  <c r="W13" i="2" s="1"/>
  <c r="AH13" i="2"/>
  <c r="V47" i="14"/>
  <c r="AJ13" i="2" s="1"/>
  <c r="I13" i="2"/>
  <c r="I47" i="14"/>
  <c r="K13" i="2" s="1"/>
  <c r="I11" i="2"/>
  <c r="I14" i="13"/>
  <c r="K11" i="2" s="1"/>
  <c r="U11" i="2"/>
  <c r="O14" i="13"/>
  <c r="W11" i="2" s="1"/>
  <c r="U10" i="2"/>
  <c r="O17" i="12"/>
  <c r="W10" i="2" s="1"/>
  <c r="I10" i="2"/>
  <c r="I17" i="12"/>
  <c r="K10" i="2" s="1"/>
  <c r="V17" i="12"/>
  <c r="AJ10" i="2" s="1"/>
  <c r="O5" i="11"/>
  <c r="W8" i="2" s="1"/>
  <c r="AH8" i="2"/>
  <c r="V5" i="11"/>
  <c r="AJ8" i="2" s="1"/>
  <c r="I8" i="2"/>
  <c r="I5" i="11"/>
  <c r="K8" i="2" s="1"/>
  <c r="AH7" i="2"/>
  <c r="V29" i="10"/>
  <c r="AJ7" i="2" s="1"/>
  <c r="U7" i="2"/>
  <c r="O29" i="10"/>
  <c r="W7" i="2" s="1"/>
  <c r="I7" i="2"/>
  <c r="I29" i="10"/>
  <c r="K7" i="2" s="1"/>
  <c r="AH19" i="2"/>
  <c r="V20" i="18"/>
  <c r="AJ19" i="2" s="1"/>
  <c r="U20" i="2"/>
  <c r="O5" i="19"/>
  <c r="W20" i="2" s="1"/>
  <c r="AH20" i="2"/>
  <c r="V5" i="19"/>
  <c r="AJ20" i="2" s="1"/>
  <c r="I19" i="2"/>
  <c r="I20" i="18"/>
  <c r="K19" i="2" s="1"/>
  <c r="U19" i="2"/>
  <c r="O20" i="18"/>
  <c r="W19" i="2" s="1"/>
  <c r="I20" i="2"/>
  <c r="I5" i="19"/>
  <c r="K20" i="2" s="1"/>
  <c r="AH15" i="2"/>
  <c r="AH21" i="2" s="1"/>
  <c r="V12" i="6"/>
  <c r="AJ15" i="2" s="1"/>
  <c r="C15" i="2"/>
  <c r="AN15" i="2" s="1"/>
  <c r="AP15" i="2" s="1"/>
  <c r="AP21" i="2" s="1"/>
  <c r="AB21" i="2"/>
  <c r="AG21" i="2"/>
  <c r="AJ4" i="2"/>
  <c r="C17" i="2"/>
  <c r="C16" i="2"/>
  <c r="C14" i="2"/>
  <c r="C13" i="2"/>
  <c r="C8" i="2"/>
  <c r="C20" i="2"/>
  <c r="H20" i="2"/>
  <c r="T19" i="2"/>
  <c r="C19" i="2"/>
  <c r="T17" i="2"/>
  <c r="AJ11" i="2"/>
  <c r="AG11" i="2"/>
  <c r="T11" i="2"/>
  <c r="H11" i="2"/>
  <c r="C11" i="2"/>
  <c r="C10" i="2"/>
  <c r="AH10" i="2"/>
  <c r="H10" i="2"/>
  <c r="T10" i="2"/>
  <c r="U8" i="2"/>
  <c r="H7" i="2"/>
  <c r="T7" i="2"/>
  <c r="AG7" i="2"/>
  <c r="C7" i="2"/>
  <c r="W4" i="2"/>
  <c r="D32" i="1"/>
  <c r="E32" i="1"/>
  <c r="F32" i="1"/>
  <c r="G32" i="1"/>
  <c r="H32" i="1"/>
  <c r="C32" i="1" l="1"/>
  <c r="I32" i="1"/>
  <c r="AJ21" i="2"/>
  <c r="I3" i="2"/>
  <c r="I21" i="2" s="1"/>
  <c r="I4" i="2"/>
  <c r="G3" i="2"/>
  <c r="G21" i="2" s="1"/>
  <c r="G4" i="2"/>
  <c r="J4" i="2"/>
  <c r="J3" i="2"/>
  <c r="J21" i="2" s="1"/>
  <c r="H3" i="2"/>
  <c r="H21" i="2" s="1"/>
  <c r="H4" i="2"/>
  <c r="C4" i="2"/>
  <c r="C3" i="2"/>
  <c r="C21" i="2" l="1"/>
  <c r="B21" i="2" s="1"/>
  <c r="AN3" i="2"/>
  <c r="AN21" i="2" s="1"/>
  <c r="K21" i="2"/>
  <c r="K4" i="2"/>
  <c r="K3" i="2"/>
  <c r="B4" i="2"/>
  <c r="B3" i="2"/>
  <c r="B16" i="2"/>
  <c r="I8" i="16"/>
  <c r="K16" i="2" s="1"/>
  <c r="H1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tc={206EC38A-1469-44AA-BB21-6A1A938CA2DA}</author>
  </authors>
  <commentList>
    <comment ref="AP18" authorId="0" shapeId="0" xr:uid="{206EC38A-1469-44AA-BB21-6A1A938CA2DA}">
      <text>
        <t>[Threaded comment]
Your version of Excel allows you to read this threaded comment; however, any edits to it will get removed if the file is opened in a newer version of Excel. Learn more: https://go.microsoft.com/fwlink/?linkid=870924
Comment:
    See color coded sheet DEPT 68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<sst xmlns="http://schemas.openxmlformats.org/spreadsheetml/2006/main" count="1046" uniqueCount="158">
  <si>
    <t>Category Name</t>
  </si>
  <si>
    <t>Months of Inventory</t>
  </si>
  <si>
    <t>Total Inv 2024</t>
  </si>
  <si>
    <t>ST1 Inv 2024</t>
  </si>
  <si>
    <t>ST2 Inv 2024</t>
  </si>
  <si>
    <t>ST7 Inv 2024</t>
  </si>
  <si>
    <t>2024 YTD Purchases</t>
  </si>
  <si>
    <t>2024 YTD Sales at Cost</t>
  </si>
  <si>
    <t>2024 YTD Sales at Retail</t>
  </si>
  <si>
    <t>2024 GP$</t>
  </si>
  <si>
    <t>2024 GP%</t>
  </si>
  <si>
    <t>LYR Sales Total</t>
  </si>
  <si>
    <t>Building Materials Total</t>
  </si>
  <si>
    <t>BM Stock</t>
  </si>
  <si>
    <t>BM Special Order</t>
  </si>
  <si>
    <t>Lumber Total</t>
  </si>
  <si>
    <t>L Stock</t>
  </si>
  <si>
    <t>L Special Order</t>
  </si>
  <si>
    <t>Millwork Total</t>
  </si>
  <si>
    <t>M Stock</t>
  </si>
  <si>
    <t>M Special Order</t>
  </si>
  <si>
    <t>Hardware Total</t>
  </si>
  <si>
    <t>HW Stock</t>
  </si>
  <si>
    <t>HW Special Order</t>
  </si>
  <si>
    <t>Paint Total</t>
  </si>
  <si>
    <t>P Stock</t>
  </si>
  <si>
    <t>P Special Order</t>
  </si>
  <si>
    <t>Outdoor Living Total</t>
  </si>
  <si>
    <t>OL Stock</t>
  </si>
  <si>
    <t>OL Special Order</t>
  </si>
  <si>
    <t>Total:</t>
  </si>
  <si>
    <t>St</t>
  </si>
  <si>
    <t>Department Name</t>
  </si>
  <si>
    <t>GP$
YTD</t>
  </si>
  <si>
    <t>GP%
YTD</t>
  </si>
  <si>
    <t>LYR Sales
Total</t>
  </si>
  <si>
    <t>1</t>
  </si>
  <si>
    <t>DC DOCK HARDWARE</t>
  </si>
  <si>
    <t>2</t>
  </si>
  <si>
    <t>7</t>
  </si>
  <si>
    <t>EE COMPOSITES</t>
  </si>
  <si>
    <t>ER EXTERIOR RAILS</t>
  </si>
  <si>
    <t>FF MASONRY</t>
  </si>
  <si>
    <t>I INSULATION</t>
  </si>
  <si>
    <t>QQ ROOFING AND SIDING</t>
  </si>
  <si>
    <t>RR WALLBOARD &amp; HOUSEWRAP</t>
  </si>
  <si>
    <t>T TIMBERTECH &amp; TREX</t>
  </si>
  <si>
    <t>TT WALKWAYS</t>
  </si>
  <si>
    <t>W WOLF DECKING &amp; RAILS</t>
  </si>
  <si>
    <t>TOTALS:</t>
  </si>
  <si>
    <t>ID INDUSTRIAL WOODS</t>
  </si>
  <si>
    <t>LL PLYWOOD</t>
  </si>
  <si>
    <t>ME ENGINEERED</t>
  </si>
  <si>
    <t>MM FRAMING</t>
  </si>
  <si>
    <t>NN SPRUCE &amp; 5/4</t>
  </si>
  <si>
    <t>OO CEDAR</t>
  </si>
  <si>
    <t>PP TREATED LUMBER</t>
  </si>
  <si>
    <t>SL SPECIAL ORDER LUMBER</t>
  </si>
  <si>
    <t>SS HARDWOODS</t>
  </si>
  <si>
    <t>XL LUMBER DISCONTINUED</t>
  </si>
  <si>
    <t>CM CLEAR MOULDINGS</t>
  </si>
  <si>
    <t>DD ANDERSEN HARDWARE &amp; SCREENS</t>
  </si>
  <si>
    <t>HH DOORS-EXTERIOR (RES)</t>
  </si>
  <si>
    <t>JJ MILLWORK MISC</t>
  </si>
  <si>
    <t>KK MOULDING</t>
  </si>
  <si>
    <t>SA SPECIAL ORDER ANDERSEN</t>
  </si>
  <si>
    <t>SD SPECIAL ORDER DOORS</t>
  </si>
  <si>
    <t>SM SPECIAL ORDER MILLWORK</t>
  </si>
  <si>
    <t>SW SPECIAL ORDER WINDOWS</t>
  </si>
  <si>
    <t>10 HAND TOOLS</t>
  </si>
  <si>
    <t>15 POWER TOOLS &amp; ACCESSORIES</t>
  </si>
  <si>
    <t>20 FASTENERS</t>
  </si>
  <si>
    <t>25 HARDWARE</t>
  </si>
  <si>
    <t>35 ELECTRICAL</t>
  </si>
  <si>
    <t>40 PLUMBING</t>
  </si>
  <si>
    <t>45 HEATING &amp; COOLING</t>
  </si>
  <si>
    <t>50 HOUSEWARES</t>
  </si>
  <si>
    <t>65 AUTOMOTIVE</t>
  </si>
  <si>
    <t>70 SPORTING GOODS</t>
  </si>
  <si>
    <t>75 STORE SUPPLIES</t>
  </si>
  <si>
    <t>76 IMPULSE &amp; VARIETY</t>
  </si>
  <si>
    <t>DF DECK FASTNERS</t>
  </si>
  <si>
    <t>EMERY JENSEN NEW ITEMS</t>
  </si>
  <si>
    <t>SH SPECIAL ORDER HARDWARE</t>
  </si>
  <si>
    <t>XH HARDWARE DISCONTINUED</t>
  </si>
  <si>
    <t>30 PAINT &amp; SUNDRIES</t>
  </si>
  <si>
    <t>SP SPECIAL ORDER PAINT</t>
  </si>
  <si>
    <t>55 LAWN &amp; GARDEN</t>
  </si>
  <si>
    <t>58 PET &amp; WILD BIRD</t>
  </si>
  <si>
    <t>62 FARM &amp; RANCH</t>
  </si>
  <si>
    <t>68 OUTDOOR LIVING &amp; PATIO</t>
  </si>
  <si>
    <t>SE SEASCAPES</t>
  </si>
  <si>
    <t>SO SPECIAL ORDER OUTDOOR LIVING</t>
  </si>
  <si>
    <t>2024 GP%
ST1</t>
  </si>
  <si>
    <t>2024 GP%
ST2</t>
  </si>
  <si>
    <t>2024 GP%
ST7</t>
  </si>
  <si>
    <t>GP$
2024 YTD</t>
  </si>
  <si>
    <t>Total Inv 2025</t>
  </si>
  <si>
    <t>ST1 Inv 2025</t>
  </si>
  <si>
    <t>ST2 Inv 2025</t>
  </si>
  <si>
    <t>ST7 Inv 2025</t>
  </si>
  <si>
    <t>2025 YTD Purchases</t>
  </si>
  <si>
    <t>2025 YTD Sales at Cost</t>
  </si>
  <si>
    <t>2025 YTD Sales at Retail</t>
  </si>
  <si>
    <t>2025 GP$</t>
  </si>
  <si>
    <t>2025 GP%</t>
  </si>
  <si>
    <t>2025 GP%
ST1</t>
  </si>
  <si>
    <t>2025 GP%
ST2</t>
  </si>
  <si>
    <t>2025 GP%
ST7</t>
  </si>
  <si>
    <t>today's inventory</t>
  </si>
  <si>
    <t xml:space="preserve"> inventory budget</t>
  </si>
  <si>
    <t>incls 22k special order</t>
  </si>
  <si>
    <t>Ben Moore Credits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</si>
  <si>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</si>
  <si>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</si>
  <si>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</si>
  <si>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</si>
  <si>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</si>
  <si>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</si>
  <si>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</si>
  <si>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</si>
  <si>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</si>
  <si>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December</t>
  </si>
  <si>
    <t>September</t>
  </si>
  <si>
    <t>October</t>
  </si>
  <si>
    <t>November</t>
  </si>
  <si>
    <t>TOTALS WITH CREDITS:</t>
  </si>
  <si>
    <t>XO DISCONTINUED OUTDOOR LIVING</t>
  </si>
  <si>
    <t>XP DISCONTINUED PAINT</t>
  </si>
  <si>
    <t>January 2026 - Grand Summary</t>
  </si>
  <si>
    <t>Total Inv 2026</t>
  </si>
  <si>
    <t>ST1 Inv 2026</t>
  </si>
  <si>
    <t>ST2 Inv 2026</t>
  </si>
  <si>
    <t>ST7 Inv 2026</t>
  </si>
  <si>
    <t>2026 YTD Purchases</t>
  </si>
  <si>
    <t>2026 YTD Sales at Cost</t>
  </si>
  <si>
    <t>2026 YTD Sales at Retail</t>
  </si>
  <si>
    <t>2026 GP$</t>
  </si>
  <si>
    <t>2026 GP%</t>
  </si>
  <si>
    <t>2026 GP%
ST1</t>
  </si>
  <si>
    <t>2026 GP%
ST2</t>
  </si>
  <si>
    <t>2026 GP%
ST7</t>
  </si>
  <si>
    <t>2026 inventory decrease</t>
  </si>
  <si>
    <t>Inventory At Cost
1/31/2025</t>
  </si>
  <si>
    <t>YTD Purchases At Cost
1/31/2025</t>
  </si>
  <si>
    <t>YTD Sales At Cost
1/31/2025</t>
  </si>
  <si>
    <t>YTD Sales At Retail
1/31/2025</t>
  </si>
  <si>
    <t>Inventory At Cost
1/31/2024</t>
  </si>
  <si>
    <t>YTD Purchases At Cost
1/31/2024</t>
  </si>
  <si>
    <t>YTD Sales At Cost
1/31/2024</t>
  </si>
  <si>
    <t>YTD Sales At Retail
1/31/2024</t>
  </si>
  <si>
    <t>Inventory At Cost
1/31/2026</t>
  </si>
  <si>
    <t>YTD Purchases At Cost
1/31/2026</t>
  </si>
  <si>
    <t>YTD Sales At Cost
1/31/2026</t>
  </si>
  <si>
    <t>YTD Sales At Retail
1/31/2026</t>
  </si>
  <si>
    <t>GP$
2025 YTD</t>
  </si>
  <si>
    <t>GP%
2025 YTD</t>
  </si>
  <si>
    <t>GP%
YTD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</si>
</sst>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\$#,##0.00"/>
    <numFmt numFmtId="165" formatCode="0.0"/>
    <numFmt numFmtId="166" formatCode="&quot;$&quot;#,##0.00"/>
    <numFmt numFmtId="167" formatCode="0.0%"/>
  </numFmts>
  <fonts count="14" x14ac:knownFonts="1">
    <font>
      <sz val="11"/>
      <color theme="1"/>
      <name val="Calibri"/>
      <family val="2"/>
      <scheme val="minor"/>
    </font>
    <font>
      <sz val="9"/>
      <color rgb="FF000000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sz val="10"/>
      <color theme="1"/>
      <name val="Segoe UI"/>
      <family val="2"/>
    </font>
    <font>
      <sz val="10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sz val="10"/>
      <color theme="1"/>
      <name val="Segoe UI"/>
      <family val="2"/>
    </font>
    <font>
      <sz val="10"/>
      <name val="Arial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2" fillId="0" borderId="0" applyAlignment="0">
      <alignment vertical="top" wrapText="1"/>
      <protection locked="0"/>
    </xf>
  </cellStyleXfs>
  <cellXfs count="16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0" fillId="0" borderId="4" xfId="0" applyNumberForma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right" vertical="center"/>
    </xf>
    <xf numFmtId="166" fontId="11" fillId="0" borderId="4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4" borderId="6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 wrapText="1"/>
    </xf>
    <xf numFmtId="0" fontId="6" fillId="5" borderId="6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7" borderId="6" xfId="0" applyFont="1" applyFill="1" applyBorder="1" applyAlignment="1">
      <alignment horizontal="center" vertical="top" wrapText="1"/>
    </xf>
    <xf numFmtId="0" fontId="6" fillId="7" borderId="1" xfId="0" applyFont="1" applyFill="1" applyBorder="1" applyAlignment="1">
      <alignment horizontal="center" vertical="top" wrapText="1"/>
    </xf>
    <xf numFmtId="0" fontId="6" fillId="8" borderId="6" xfId="0" applyFont="1" applyFill="1" applyBorder="1" applyAlignment="1">
      <alignment horizontal="center" vertical="top" wrapText="1"/>
    </xf>
    <xf numFmtId="0" fontId="6" fillId="8" borderId="1" xfId="0" applyFont="1" applyFill="1" applyBorder="1" applyAlignment="1">
      <alignment horizontal="center" vertical="top" wrapText="1"/>
    </xf>
    <xf numFmtId="0" fontId="6" fillId="4" borderId="8" xfId="0" applyFont="1" applyFill="1" applyBorder="1" applyAlignment="1">
      <alignment horizontal="center" vertical="top" wrapText="1"/>
    </xf>
    <xf numFmtId="164" fontId="1" fillId="9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4" borderId="1" xfId="0" applyNumberFormat="1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1" fillId="7" borderId="1" xfId="0" applyNumberFormat="1" applyFont="1" applyFill="1" applyBorder="1" applyAlignment="1">
      <alignment horizontal="center" vertical="top" wrapText="1"/>
    </xf>
    <xf numFmtId="164" fontId="1" fillId="8" borderId="1" xfId="0" applyNumberFormat="1" applyFont="1" applyFill="1" applyBorder="1" applyAlignment="1">
      <alignment horizontal="center" vertical="top" wrapText="1"/>
    </xf>
    <xf numFmtId="164" fontId="1" fillId="4" borderId="2" xfId="0" applyNumberFormat="1" applyFont="1" applyFill="1" applyBorder="1" applyAlignment="1">
      <alignment horizontal="center" vertical="top" wrapText="1"/>
    </xf>
    <xf numFmtId="0" fontId="6" fillId="9" borderId="9" xfId="0" applyFont="1" applyFill="1" applyBorder="1" applyAlignment="1">
      <alignment horizontal="center" vertical="top" wrapText="1"/>
    </xf>
    <xf numFmtId="0" fontId="6" fillId="9" borderId="10" xfId="0" applyFont="1" applyFill="1" applyBorder="1" applyAlignment="1">
      <alignment horizontal="center" vertical="top" wrapText="1"/>
    </xf>
    <xf numFmtId="0" fontId="6" fillId="9" borderId="6" xfId="0" applyFont="1" applyFill="1" applyBorder="1" applyAlignment="1">
      <alignment horizontal="center" vertical="top" wrapText="1"/>
    </xf>
    <xf numFmtId="0" fontId="6" fillId="9" borderId="1" xfId="0" applyFont="1" applyFill="1" applyBorder="1" applyAlignment="1">
      <alignment horizontal="center" vertical="top" wrapText="1"/>
    </xf>
    <xf numFmtId="0" fontId="6" fillId="3" borderId="8" xfId="0" applyFont="1" applyFill="1" applyBorder="1" applyAlignment="1">
      <alignment horizontal="center" vertical="top" wrapText="1"/>
    </xf>
    <xf numFmtId="0" fontId="11" fillId="3" borderId="6" xfId="0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166" fontId="11" fillId="4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6" fontId="11" fillId="5" borderId="1" xfId="0" applyNumberFormat="1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66" fontId="11" fillId="6" borderId="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2" fontId="11" fillId="3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2" fontId="11" fillId="5" borderId="1" xfId="0" applyNumberFormat="1" applyFont="1" applyFill="1" applyBorder="1" applyAlignment="1">
      <alignment horizontal="center" vertical="center"/>
    </xf>
    <xf numFmtId="2" fontId="11" fillId="6" borderId="1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/>
    </xf>
    <xf numFmtId="166" fontId="11" fillId="7" borderId="2" xfId="0" applyNumberFormat="1" applyFont="1" applyFill="1" applyBorder="1" applyAlignment="1">
      <alignment horizontal="center" vertical="center"/>
    </xf>
    <xf numFmtId="2" fontId="11" fillId="7" borderId="2" xfId="0" applyNumberFormat="1" applyFont="1" applyFill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 wrapText="1"/>
    </xf>
    <xf numFmtId="0" fontId="6" fillId="4" borderId="2" xfId="0" applyFont="1" applyFill="1" applyBorder="1" applyAlignment="1">
      <alignment horizontal="center" vertical="top" wrapText="1"/>
    </xf>
    <xf numFmtId="165" fontId="8" fillId="3" borderId="2" xfId="0" applyNumberFormat="1" applyFont="1" applyFill="1" applyBorder="1" applyAlignment="1">
      <alignment horizontal="center" vertical="center"/>
    </xf>
    <xf numFmtId="165" fontId="8" fillId="4" borderId="2" xfId="0" applyNumberFormat="1" applyFont="1" applyFill="1" applyBorder="1" applyAlignment="1">
      <alignment horizontal="center" vertical="center"/>
    </xf>
    <xf numFmtId="165" fontId="8" fillId="9" borderId="1" xfId="0" applyNumberFormat="1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  <xf numFmtId="165" fontId="8" fillId="4" borderId="1" xfId="0" applyNumberFormat="1" applyFont="1" applyFill="1" applyBorder="1" applyAlignment="1">
      <alignment horizontal="center" vertical="center"/>
    </xf>
    <xf numFmtId="165" fontId="8" fillId="5" borderId="1" xfId="0" applyNumberFormat="1" applyFont="1" applyFill="1" applyBorder="1" applyAlignment="1">
      <alignment horizontal="center" vertical="center"/>
    </xf>
    <xf numFmtId="165" fontId="8" fillId="6" borderId="1" xfId="0" applyNumberFormat="1" applyFont="1" applyFill="1" applyBorder="1" applyAlignment="1">
      <alignment horizontal="center" vertical="center"/>
    </xf>
    <xf numFmtId="165" fontId="8" fillId="7" borderId="1" xfId="0" applyNumberFormat="1" applyFont="1" applyFill="1" applyBorder="1" applyAlignment="1">
      <alignment horizontal="center" vertical="center"/>
    </xf>
    <xf numFmtId="165" fontId="8" fillId="8" borderId="1" xfId="0" applyNumberFormat="1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top" wrapText="1"/>
    </xf>
    <xf numFmtId="0" fontId="3" fillId="0" borderId="0" xfId="0" applyFont="1"/>
    <xf numFmtId="167" fontId="5" fillId="0" borderId="1" xfId="1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164" fontId="1" fillId="2" borderId="1" xfId="0" applyNumberFormat="1" applyFont="1" applyFill="1" applyBorder="1" applyAlignment="1">
      <alignment horizontal="center" vertical="top" wrapText="1"/>
    </xf>
    <xf numFmtId="167" fontId="1" fillId="2" borderId="1" xfId="1" applyNumberFormat="1" applyFont="1" applyFill="1" applyBorder="1" applyAlignment="1">
      <alignment horizontal="center" vertical="top" wrapText="1"/>
    </xf>
    <xf numFmtId="167" fontId="1" fillId="3" borderId="1" xfId="1" applyNumberFormat="1" applyFont="1" applyFill="1" applyBorder="1" applyAlignment="1">
      <alignment horizontal="center" vertical="top" wrapText="1"/>
    </xf>
    <xf numFmtId="167" fontId="1" fillId="4" borderId="1" xfId="1" applyNumberFormat="1" applyFont="1" applyFill="1" applyBorder="1" applyAlignment="1">
      <alignment horizontal="center" vertical="top" wrapText="1"/>
    </xf>
    <xf numFmtId="167" fontId="1" fillId="5" borderId="1" xfId="1" applyNumberFormat="1" applyFont="1" applyFill="1" applyBorder="1" applyAlignment="1">
      <alignment horizontal="center" vertical="top" wrapText="1"/>
    </xf>
    <xf numFmtId="167" fontId="1" fillId="6" borderId="1" xfId="1" applyNumberFormat="1" applyFont="1" applyFill="1" applyBorder="1" applyAlignment="1">
      <alignment horizontal="center" vertical="top" wrapText="1"/>
    </xf>
    <xf numFmtId="167" fontId="1" fillId="7" borderId="1" xfId="1" applyNumberFormat="1" applyFont="1" applyFill="1" applyBorder="1" applyAlignment="1">
      <alignment horizontal="center" vertical="top" wrapText="1"/>
    </xf>
    <xf numFmtId="167" fontId="1" fillId="8" borderId="1" xfId="1" applyNumberFormat="1" applyFont="1" applyFill="1" applyBorder="1" applyAlignment="1">
      <alignment horizontal="center" vertical="top" wrapText="1"/>
    </xf>
    <xf numFmtId="0" fontId="3" fillId="0" borderId="14" xfId="0" applyFont="1" applyBorder="1" applyAlignment="1">
      <alignment horizontal="right" wrapText="1"/>
    </xf>
    <xf numFmtId="167" fontId="1" fillId="4" borderId="2" xfId="1" applyNumberFormat="1" applyFont="1" applyFill="1" applyBorder="1" applyAlignment="1">
      <alignment horizontal="center" vertical="top" wrapText="1"/>
    </xf>
    <xf numFmtId="2" fontId="8" fillId="0" borderId="12" xfId="0" applyNumberFormat="1" applyFont="1" applyBorder="1" applyAlignment="1">
      <alignment horizontal="center" vertical="center"/>
    </xf>
    <xf numFmtId="167" fontId="0" fillId="0" borderId="5" xfId="1" applyNumberFormat="1" applyFont="1" applyBorder="1" applyAlignment="1">
      <alignment horizontal="center" wrapText="1"/>
    </xf>
    <xf numFmtId="167" fontId="1" fillId="9" borderId="1" xfId="1" applyNumberFormat="1" applyFont="1" applyFill="1" applyBorder="1" applyAlignment="1">
      <alignment horizontal="center" vertical="top" wrapText="1"/>
    </xf>
    <xf numFmtId="167" fontId="1" fillId="3" borderId="2" xfId="1" applyNumberFormat="1" applyFont="1" applyFill="1" applyBorder="1" applyAlignment="1">
      <alignment horizontal="center" vertical="top" wrapText="1"/>
    </xf>
    <xf numFmtId="0" fontId="11" fillId="9" borderId="9" xfId="0" applyFont="1" applyFill="1" applyBorder="1" applyAlignment="1">
      <alignment horizontal="center" vertical="center"/>
    </xf>
    <xf numFmtId="166" fontId="11" fillId="9" borderId="10" xfId="0" applyNumberFormat="1" applyFont="1" applyFill="1" applyBorder="1" applyAlignment="1">
      <alignment horizontal="center" vertical="center"/>
    </xf>
    <xf numFmtId="2" fontId="11" fillId="9" borderId="10" xfId="0" applyNumberFormat="1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166" fontId="11" fillId="6" borderId="2" xfId="0" applyNumberFormat="1" applyFont="1" applyFill="1" applyBorder="1" applyAlignment="1">
      <alignment horizontal="center" vertical="center"/>
    </xf>
    <xf numFmtId="2" fontId="11" fillId="6" borderId="2" xfId="0" applyNumberFormat="1" applyFont="1" applyFill="1" applyBorder="1" applyAlignment="1">
      <alignment horizontal="center" vertical="center"/>
    </xf>
    <xf numFmtId="166" fontId="11" fillId="7" borderId="1" xfId="0" applyNumberFormat="1" applyFont="1" applyFill="1" applyBorder="1" applyAlignment="1">
      <alignment horizontal="center" vertical="center"/>
    </xf>
    <xf numFmtId="2" fontId="11" fillId="7" borderId="1" xfId="0" applyNumberFormat="1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167" fontId="11" fillId="9" borderId="10" xfId="1" applyNumberFormat="1" applyFont="1" applyFill="1" applyBorder="1" applyAlignment="1">
      <alignment horizontal="center" vertical="center"/>
    </xf>
    <xf numFmtId="167" fontId="11" fillId="3" borderId="1" xfId="1" applyNumberFormat="1" applyFont="1" applyFill="1" applyBorder="1" applyAlignment="1">
      <alignment horizontal="center" vertical="center"/>
    </xf>
    <xf numFmtId="167" fontId="11" fillId="4" borderId="1" xfId="1" applyNumberFormat="1" applyFont="1" applyFill="1" applyBorder="1" applyAlignment="1">
      <alignment horizontal="center" vertical="center"/>
    </xf>
    <xf numFmtId="167" fontId="11" fillId="5" borderId="1" xfId="1" applyNumberFormat="1" applyFont="1" applyFill="1" applyBorder="1" applyAlignment="1">
      <alignment horizontal="center" vertical="center"/>
    </xf>
    <xf numFmtId="167" fontId="11" fillId="6" borderId="1" xfId="1" applyNumberFormat="1" applyFont="1" applyFill="1" applyBorder="1" applyAlignment="1">
      <alignment horizontal="center" vertical="center"/>
    </xf>
    <xf numFmtId="167" fontId="11" fillId="6" borderId="2" xfId="1" applyNumberFormat="1" applyFont="1" applyFill="1" applyBorder="1" applyAlignment="1">
      <alignment horizontal="center" vertical="center"/>
    </xf>
    <xf numFmtId="167" fontId="11" fillId="7" borderId="2" xfId="1" applyNumberFormat="1" applyFont="1" applyFill="1" applyBorder="1" applyAlignment="1">
      <alignment horizontal="center" vertical="center"/>
    </xf>
    <xf numFmtId="167" fontId="11" fillId="7" borderId="1" xfId="1" applyNumberFormat="1" applyFont="1" applyFill="1" applyBorder="1" applyAlignment="1">
      <alignment horizontal="center" vertical="center"/>
    </xf>
    <xf numFmtId="167" fontId="11" fillId="0" borderId="4" xfId="1" applyNumberFormat="1" applyFont="1" applyBorder="1" applyAlignment="1">
      <alignment horizontal="center" vertical="center"/>
    </xf>
    <xf numFmtId="167" fontId="11" fillId="9" borderId="15" xfId="1" applyNumberFormat="1" applyFont="1" applyFill="1" applyBorder="1" applyAlignment="1">
      <alignment horizontal="center" vertical="center"/>
    </xf>
    <xf numFmtId="167" fontId="11" fillId="3" borderId="7" xfId="1" applyNumberFormat="1" applyFont="1" applyFill="1" applyBorder="1" applyAlignment="1">
      <alignment horizontal="center" vertical="center"/>
    </xf>
    <xf numFmtId="166" fontId="11" fillId="9" borderId="10" xfId="1" applyNumberFormat="1" applyFont="1" applyFill="1" applyBorder="1" applyAlignment="1">
      <alignment horizontal="center" vertical="center"/>
    </xf>
    <xf numFmtId="166" fontId="11" fillId="3" borderId="1" xfId="1" applyNumberFormat="1" applyFont="1" applyFill="1" applyBorder="1" applyAlignment="1">
      <alignment horizontal="center" vertical="center"/>
    </xf>
    <xf numFmtId="166" fontId="11" fillId="4" borderId="1" xfId="1" applyNumberFormat="1" applyFont="1" applyFill="1" applyBorder="1" applyAlignment="1">
      <alignment horizontal="center" vertical="center"/>
    </xf>
    <xf numFmtId="166" fontId="11" fillId="5" borderId="1" xfId="1" applyNumberFormat="1" applyFont="1" applyFill="1" applyBorder="1" applyAlignment="1">
      <alignment horizontal="center" vertical="center"/>
    </xf>
    <xf numFmtId="166" fontId="11" fillId="6" borderId="1" xfId="1" applyNumberFormat="1" applyFont="1" applyFill="1" applyBorder="1" applyAlignment="1">
      <alignment horizontal="center" vertical="center"/>
    </xf>
    <xf numFmtId="166" fontId="11" fillId="6" borderId="2" xfId="1" applyNumberFormat="1" applyFont="1" applyFill="1" applyBorder="1" applyAlignment="1">
      <alignment horizontal="center" vertical="center"/>
    </xf>
    <xf numFmtId="166" fontId="11" fillId="7" borderId="2" xfId="1" applyNumberFormat="1" applyFont="1" applyFill="1" applyBorder="1" applyAlignment="1">
      <alignment horizontal="center" vertical="center"/>
    </xf>
    <xf numFmtId="166" fontId="11" fillId="7" borderId="1" xfId="1" applyNumberFormat="1" applyFont="1" applyFill="1" applyBorder="1" applyAlignment="1">
      <alignment horizontal="center" vertical="center"/>
    </xf>
    <xf numFmtId="166" fontId="11" fillId="0" borderId="4" xfId="1" applyNumberFormat="1" applyFont="1" applyBorder="1" applyAlignment="1">
      <alignment horizontal="center" vertical="center"/>
    </xf>
    <xf numFmtId="0" fontId="4" fillId="1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7" fontId="11" fillId="9" borderId="16" xfId="1" applyNumberFormat="1" applyFont="1" applyFill="1" applyBorder="1" applyAlignment="1">
      <alignment horizontal="center" vertical="center"/>
    </xf>
    <xf numFmtId="167" fontId="11" fillId="3" borderId="17" xfId="1" applyNumberFormat="1" applyFont="1" applyFill="1" applyBorder="1" applyAlignment="1">
      <alignment horizontal="center" vertical="center"/>
    </xf>
    <xf numFmtId="167" fontId="11" fillId="9" borderId="1" xfId="1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67" fontId="11" fillId="9" borderId="7" xfId="1" applyNumberFormat="1" applyFont="1" applyFill="1" applyBorder="1" applyAlignment="1">
      <alignment horizontal="center" vertical="center"/>
    </xf>
    <xf numFmtId="167" fontId="11" fillId="4" borderId="7" xfId="1" applyNumberFormat="1" applyFont="1" applyFill="1" applyBorder="1" applyAlignment="1">
      <alignment horizontal="center" vertical="center"/>
    </xf>
    <xf numFmtId="167" fontId="11" fillId="5" borderId="7" xfId="1" applyNumberFormat="1" applyFont="1" applyFill="1" applyBorder="1" applyAlignment="1">
      <alignment horizontal="center" vertical="center"/>
    </xf>
    <xf numFmtId="167" fontId="11" fillId="6" borderId="7" xfId="1" applyNumberFormat="1" applyFont="1" applyFill="1" applyBorder="1" applyAlignment="1">
      <alignment horizontal="center" vertical="center"/>
    </xf>
    <xf numFmtId="167" fontId="11" fillId="6" borderId="20" xfId="1" applyNumberFormat="1" applyFont="1" applyFill="1" applyBorder="1" applyAlignment="1">
      <alignment horizontal="center" vertical="center"/>
    </xf>
    <xf numFmtId="167" fontId="11" fillId="7" borderId="20" xfId="1" applyNumberFormat="1" applyFont="1" applyFill="1" applyBorder="1" applyAlignment="1">
      <alignment horizontal="center" vertical="center"/>
    </xf>
    <xf numFmtId="167" fontId="11" fillId="7" borderId="7" xfId="1" applyNumberFormat="1" applyFont="1" applyFill="1" applyBorder="1" applyAlignment="1">
      <alignment horizontal="center" vertical="center"/>
    </xf>
    <xf numFmtId="167" fontId="11" fillId="0" borderId="5" xfId="1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4" fontId="10" fillId="0" borderId="0" xfId="2" applyFont="1" applyAlignment="1">
      <alignment horizontal="center"/>
    </xf>
    <xf numFmtId="44" fontId="0" fillId="0" borderId="0" xfId="2" applyFont="1"/>
    <xf numFmtId="166" fontId="0" fillId="0" borderId="0" xfId="0" applyNumberFormat="1"/>
    <xf numFmtId="0" fontId="4" fillId="0" borderId="21" xfId="0" applyFont="1" applyBorder="1" applyAlignment="1">
      <alignment horizontal="center" vertical="center" wrapText="1"/>
    </xf>
    <xf numFmtId="166" fontId="10" fillId="0" borderId="0" xfId="0" applyNumberFormat="1" applyFont="1" applyAlignment="1">
      <alignment horizontal="center"/>
    </xf>
    <xf numFmtId="166" fontId="0" fillId="0" borderId="0" xfId="2" applyNumberFormat="1" applyFont="1"/>
    <xf numFmtId="167" fontId="0" fillId="0" borderId="0" xfId="1" applyNumberFormat="1" applyFont="1" applyAlignment="1">
      <alignment horizontal="center"/>
    </xf>
    <xf numFmtId="0" fontId="13" fillId="0" borderId="2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wrapText="1"/>
    </xf>
    <xf numFmtId="167" fontId="13" fillId="0" borderId="14" xfId="1" applyNumberFormat="1" applyFont="1" applyBorder="1" applyAlignment="1">
      <alignment horizontal="center"/>
    </xf>
    <xf numFmtId="166" fontId="8" fillId="0" borderId="26" xfId="0" applyNumberFormat="1" applyFont="1" applyBorder="1" applyAlignment="1">
      <alignment horizontal="center" vertical="center"/>
    </xf>
    <xf numFmtId="166" fontId="8" fillId="0" borderId="24" xfId="0" applyNumberFormat="1" applyFont="1" applyBorder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 wrapText="1"/>
    </xf>
    <xf numFmtId="166" fontId="8" fillId="0" borderId="10" xfId="1" applyNumberFormat="1" applyFont="1" applyBorder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/>
    </xf>
    <xf numFmtId="166" fontId="8" fillId="0" borderId="15" xfId="1" applyNumberFormat="1" applyFont="1" applyBorder="1" applyAlignment="1">
      <alignment horizontal="center" vertical="center"/>
    </xf>
    <xf numFmtId="166" fontId="8" fillId="0" borderId="22" xfId="0" applyNumberFormat="1" applyFont="1" applyBorder="1" applyAlignment="1">
      <alignment horizontal="center" vertical="center" wrapText="1"/>
    </xf>
    <xf numFmtId="166" fontId="8" fillId="0" borderId="22" xfId="1" applyNumberFormat="1" applyFont="1" applyBorder="1" applyAlignment="1">
      <alignment horizontal="center" vertical="center"/>
    </xf>
    <xf numFmtId="166" fontId="8" fillId="0" borderId="22" xfId="0" applyNumberFormat="1" applyFont="1" applyBorder="1" applyAlignment="1">
      <alignment horizontal="center" vertical="center"/>
    </xf>
    <xf numFmtId="166" fontId="8" fillId="0" borderId="23" xfId="1" applyNumberFormat="1" applyFont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top" wrapTex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</cellXfs>
  <cellStyles count="4">
    <cellStyle name="Currency" xfId="2" builtinId="4"/>
    <cellStyle name="Normal" xfId="0" builtinId="0"/>
    <cellStyle name="Normal 2" xfId="3" xr:uid="{3594BC55-16D3-4190-B03B-F28496DD644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YTD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087675844495818E-2"/>
          <c:y val="6.1160156108113352E-2"/>
          <c:w val="0.91424274815064155"/>
          <c:h val="0.818365800296040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Dashboard'!$I$3:$I$21</c:f>
              <c:numCache>
                <c:formatCode>"$"#,##0.00</c:formatCode>
                <c:ptCount val="19"/>
                <c:pt idx="0">
                  <c:v>148986.6</c:v>
                </c:pt>
                <c:pt idx="1">
                  <c:v>148986.6</c:v>
                </c:pt>
                <c:pt idx="2">
                  <c:v>0</c:v>
                </c:pt>
                <c:pt idx="3">
                  <c:v>486781.49000000005</c:v>
                </c:pt>
                <c:pt idx="4">
                  <c:v>371811.19000000006</c:v>
                </c:pt>
                <c:pt idx="5">
                  <c:v>114970.3</c:v>
                </c:pt>
                <c:pt idx="6">
                  <c:v>134432.84</c:v>
                </c:pt>
                <c:pt idx="7">
                  <c:v>13074.09</c:v>
                </c:pt>
                <c:pt idx="8">
                  <c:v>121358.74999999999</c:v>
                </c:pt>
                <c:pt idx="9">
                  <c:v>183526.12</c:v>
                </c:pt>
                <c:pt idx="10">
                  <c:v>176802.34</c:v>
                </c:pt>
                <c:pt idx="11">
                  <c:v>6723.78</c:v>
                </c:pt>
                <c:pt idx="12">
                  <c:v>112230.19</c:v>
                </c:pt>
                <c:pt idx="13">
                  <c:v>111028.22</c:v>
                </c:pt>
                <c:pt idx="14">
                  <c:v>418.32</c:v>
                </c:pt>
                <c:pt idx="15">
                  <c:v>25313.54</c:v>
                </c:pt>
                <c:pt idx="16">
                  <c:v>25313.54</c:v>
                </c:pt>
                <c:pt idx="17">
                  <c:v>0</c:v>
                </c:pt>
                <c:pt idx="18">
                  <c:v>1091270.78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FD-4AF7-9123-3FC450C3817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Dashboard'!$U$3:$U$21</c:f>
              <c:numCache>
                <c:formatCode>"$"#,##0.00</c:formatCode>
                <c:ptCount val="19"/>
                <c:pt idx="0">
                  <c:v>99407.260000000009</c:v>
                </c:pt>
                <c:pt idx="1">
                  <c:v>99407.260000000009</c:v>
                </c:pt>
                <c:pt idx="2">
                  <c:v>0</c:v>
                </c:pt>
                <c:pt idx="3">
                  <c:v>389601.79000000004</c:v>
                </c:pt>
                <c:pt idx="4">
                  <c:v>282084.28000000003</c:v>
                </c:pt>
                <c:pt idx="5">
                  <c:v>107517.51</c:v>
                </c:pt>
                <c:pt idx="6">
                  <c:v>256770.53000000003</c:v>
                </c:pt>
                <c:pt idx="7">
                  <c:v>15358.960000000001</c:v>
                </c:pt>
                <c:pt idx="8">
                  <c:v>241411.57</c:v>
                </c:pt>
                <c:pt idx="9">
                  <c:v>155499.35999999996</c:v>
                </c:pt>
                <c:pt idx="10">
                  <c:v>150479.55999999997</c:v>
                </c:pt>
                <c:pt idx="11">
                  <c:v>5019.8</c:v>
                </c:pt>
                <c:pt idx="12">
                  <c:v>115847.34</c:v>
                </c:pt>
                <c:pt idx="13">
                  <c:v>110745.47</c:v>
                </c:pt>
                <c:pt idx="14">
                  <c:v>0</c:v>
                </c:pt>
                <c:pt idx="15">
                  <c:v>10822.62</c:v>
                </c:pt>
                <c:pt idx="16">
                  <c:v>10822.62</c:v>
                </c:pt>
                <c:pt idx="17">
                  <c:v>0</c:v>
                </c:pt>
                <c:pt idx="18">
                  <c:v>1027948.9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8FD-4AF7-9123-3FC450C3817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Dashboard'!$AH$3:$AH$21</c:f>
              <c:numCache>
                <c:formatCode>"$"#,##0.00</c:formatCode>
                <c:ptCount val="19"/>
                <c:pt idx="0">
                  <c:v>155514.93</c:v>
                </c:pt>
                <c:pt idx="1">
                  <c:v>155514.93</c:v>
                </c:pt>
                <c:pt idx="2">
                  <c:v>0</c:v>
                </c:pt>
                <c:pt idx="3">
                  <c:v>604530.55999999994</c:v>
                </c:pt>
                <c:pt idx="4">
                  <c:v>396597.79</c:v>
                </c:pt>
                <c:pt idx="5">
                  <c:v>207932.77</c:v>
                </c:pt>
                <c:pt idx="6">
                  <c:v>248451.98</c:v>
                </c:pt>
                <c:pt idx="7">
                  <c:v>15318.32</c:v>
                </c:pt>
                <c:pt idx="8">
                  <c:v>233133.66</c:v>
                </c:pt>
                <c:pt idx="9">
                  <c:v>183668.34000000003</c:v>
                </c:pt>
                <c:pt idx="10">
                  <c:v>173101.11000000004</c:v>
                </c:pt>
                <c:pt idx="11">
                  <c:v>10567.23</c:v>
                </c:pt>
                <c:pt idx="12">
                  <c:v>104361.93000000001</c:v>
                </c:pt>
                <c:pt idx="13">
                  <c:v>87463.02</c:v>
                </c:pt>
                <c:pt idx="14">
                  <c:v>0</c:v>
                </c:pt>
                <c:pt idx="15">
                  <c:v>20464.37</c:v>
                </c:pt>
                <c:pt idx="16">
                  <c:v>15378.57</c:v>
                </c:pt>
                <c:pt idx="17">
                  <c:v>5085.8</c:v>
                </c:pt>
                <c:pt idx="18">
                  <c:v>1316992.1100000001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FD-4AF7-9123-3FC450C38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0162287"/>
        <c:axId val="1820163727"/>
      </c:barChart>
      <c:catAx>
        <c:axId val="1820162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3727"/>
        <c:crosses val="autoZero"/>
        <c:auto val="1"/>
        <c:lblAlgn val="ctr"/>
        <c:lblOffset val="100"/>
        <c:noMultiLvlLbl val="0"/>
      </c:catAx>
      <c:valAx>
        <c:axId val="1820163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22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790094304466656"/>
          <c:y val="0.13807020364620579"/>
          <c:w val="0.209692381330982"/>
          <c:h val="4.64575723970792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Stock'!$D$2,'BM -ALL- Stock'!$D$5,'BM -ALL- Stock'!$D$8,'BM -ALL- Stock'!$D$11,'BM -ALL- Stock'!$D$14,'BM -ALL- Stock'!$D$17,'BM -ALL- Stock'!$D$20,'BM -ALL- Stock'!$D$23,'BM -ALL- Stock'!$D$26,'BM -ALL- Stock'!$D$29)</c:f>
              <c:numCache>
                <c:formatCode>\$#,##0.00</c:formatCode>
                <c:ptCount val="10"/>
                <c:pt idx="0">
                  <c:v>0</c:v>
                </c:pt>
                <c:pt idx="1">
                  <c:v>70810.86</c:v>
                </c:pt>
                <c:pt idx="2">
                  <c:v>2866.55</c:v>
                </c:pt>
                <c:pt idx="3">
                  <c:v>4626.93</c:v>
                </c:pt>
                <c:pt idx="4">
                  <c:v>2204.4699999999998</c:v>
                </c:pt>
                <c:pt idx="5">
                  <c:v>11294.81</c:v>
                </c:pt>
                <c:pt idx="6">
                  <c:v>11527.22</c:v>
                </c:pt>
                <c:pt idx="7">
                  <c:v>0</c:v>
                </c:pt>
                <c:pt idx="8">
                  <c:v>10180.93</c:v>
                </c:pt>
                <c:pt idx="9">
                  <c:v>12580.75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0B-457D-A22C-23F9CD555D67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Stock'!$J$2,'BM -ALL- Stock'!$J$5,'BM -ALL- Stock'!$J$8,'BM -ALL- Stock'!$J$11,'BM -ALL- Stock'!$J$14,'BM -ALL- Stock'!$J$17,'BM -ALL- Stock'!$J$20,'BM -ALL- Stock'!$J$23,'BM -ALL- Stock'!$J$26,'BM -ALL- Stock'!$J$29)</c:f>
              <c:numCache>
                <c:formatCode>\$#,##0.00</c:formatCode>
                <c:ptCount val="10"/>
                <c:pt idx="0">
                  <c:v>0</c:v>
                </c:pt>
                <c:pt idx="1">
                  <c:v>62944.38</c:v>
                </c:pt>
                <c:pt idx="2">
                  <c:v>2675.11</c:v>
                </c:pt>
                <c:pt idx="3">
                  <c:v>5027.9399999999996</c:v>
                </c:pt>
                <c:pt idx="4">
                  <c:v>1750.97</c:v>
                </c:pt>
                <c:pt idx="5">
                  <c:v>15455.14</c:v>
                </c:pt>
                <c:pt idx="6">
                  <c:v>10877.7</c:v>
                </c:pt>
                <c:pt idx="7">
                  <c:v>0</c:v>
                </c:pt>
                <c:pt idx="8">
                  <c:v>42023.66</c:v>
                </c:pt>
                <c:pt idx="9">
                  <c:v>11687.15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0B-457D-A22C-23F9CD555D67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Stock'!$Q$2,'BM -ALL- Stock'!$Q$5,'BM -ALL- Stock'!$Q$8,'BM -ALL- Stock'!$Q$11,'BM -ALL- Stock'!$Q$14,'BM -ALL- Stock'!$Q$17,'BM -ALL- Stock'!$Q$20,'BM -ALL- Stock'!$Q$23,'BM -ALL- Stock'!$Q$26,'BM -ALL- Stock'!$Q$29)</c:f>
              <c:numCache>
                <c:formatCode>\$#,##0.00</c:formatCode>
                <c:ptCount val="10"/>
                <c:pt idx="0">
                  <c:v>0</c:v>
                </c:pt>
                <c:pt idx="1">
                  <c:v>60305.99</c:v>
                </c:pt>
                <c:pt idx="2">
                  <c:v>2334.0100000000002</c:v>
                </c:pt>
                <c:pt idx="3">
                  <c:v>7037.86</c:v>
                </c:pt>
                <c:pt idx="4">
                  <c:v>2612.14</c:v>
                </c:pt>
                <c:pt idx="5">
                  <c:v>12089.75</c:v>
                </c:pt>
                <c:pt idx="6">
                  <c:v>7298.78</c:v>
                </c:pt>
                <c:pt idx="7">
                  <c:v>0</c:v>
                </c:pt>
                <c:pt idx="8">
                  <c:v>1533.73</c:v>
                </c:pt>
                <c:pt idx="9">
                  <c:v>11890.8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0B-457D-A22C-23F9CD555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Stock'!$D$3,'BM -ALL- Stock'!$D$6,'BM -ALL- Stock'!$D$9,'BM -ALL- Stock'!$D$12,'BM -ALL- Stock'!$D$15,'BM -ALL- Stock'!$D$18,'BM -ALL- Stock'!$D$21,'BM -ALL- Stock'!$D$24,'BM -ALL- Stock'!$D$27,'BM -ALL- Stock'!$D$30)</c:f>
              <c:numCache>
                <c:formatCode>\$#,##0.00</c:formatCode>
                <c:ptCount val="10"/>
                <c:pt idx="0">
                  <c:v>17731.21</c:v>
                </c:pt>
                <c:pt idx="1">
                  <c:v>105793.04</c:v>
                </c:pt>
                <c:pt idx="2">
                  <c:v>36738.449999999997</c:v>
                </c:pt>
                <c:pt idx="3">
                  <c:v>10069.49</c:v>
                </c:pt>
                <c:pt idx="4">
                  <c:v>3025.1</c:v>
                </c:pt>
                <c:pt idx="5">
                  <c:v>11458.89</c:v>
                </c:pt>
                <c:pt idx="6">
                  <c:v>16218.84</c:v>
                </c:pt>
                <c:pt idx="7">
                  <c:v>19757.05</c:v>
                </c:pt>
                <c:pt idx="8">
                  <c:v>12358.53</c:v>
                </c:pt>
                <c:pt idx="9">
                  <c:v>101051.1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C8-4F86-99F4-373473BE4BD6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Stock'!$J$3,'BM -ALL- Stock'!$J$6,'BM -ALL- Stock'!$J$9,'BM -ALL- Stock'!$J$12,'BM -ALL- Stock'!$J$15,'BM -ALL- Stock'!$J$18,'BM -ALL- Stock'!$J$21,'BM -ALL- Stock'!$J$24,'BM -ALL- Stock'!$J$27,'BM -ALL- Stock'!$J$30)</c:f>
              <c:numCache>
                <c:formatCode>\$#,##0.00</c:formatCode>
                <c:ptCount val="10"/>
                <c:pt idx="0">
                  <c:v>24710.36</c:v>
                </c:pt>
                <c:pt idx="1">
                  <c:v>117570.38</c:v>
                </c:pt>
                <c:pt idx="2">
                  <c:v>24230.97</c:v>
                </c:pt>
                <c:pt idx="3">
                  <c:v>10127.84</c:v>
                </c:pt>
                <c:pt idx="4">
                  <c:v>4285.67</c:v>
                </c:pt>
                <c:pt idx="5">
                  <c:v>41175.480000000003</c:v>
                </c:pt>
                <c:pt idx="6">
                  <c:v>12609.24</c:v>
                </c:pt>
                <c:pt idx="7">
                  <c:v>44776.34</c:v>
                </c:pt>
                <c:pt idx="8">
                  <c:v>4940</c:v>
                </c:pt>
                <c:pt idx="9">
                  <c:v>91515.93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C8-4F86-99F4-373473BE4BD6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Stock'!$Q$3,'BM -ALL- Stock'!$Q$6,'BM -ALL- Stock'!$Q$9,'BM -ALL- Stock'!$Q$12,'BM -ALL- Stock'!$Q$15,'BM -ALL- Stock'!$Q$18,'BM -ALL- Stock'!$Q$21,'BM -ALL- Stock'!$Q$24,'BM -ALL- Stock'!$Q$27,'BM -ALL- Stock'!$Q$30)</c:f>
              <c:numCache>
                <c:formatCode>\$#,##0.00</c:formatCode>
                <c:ptCount val="10"/>
                <c:pt idx="0">
                  <c:v>9422.64</c:v>
                </c:pt>
                <c:pt idx="1">
                  <c:v>107846.75</c:v>
                </c:pt>
                <c:pt idx="2">
                  <c:v>22172.87</c:v>
                </c:pt>
                <c:pt idx="3">
                  <c:v>5528.4</c:v>
                </c:pt>
                <c:pt idx="4">
                  <c:v>8176.83</c:v>
                </c:pt>
                <c:pt idx="5">
                  <c:v>36269.89</c:v>
                </c:pt>
                <c:pt idx="6">
                  <c:v>18160.91</c:v>
                </c:pt>
                <c:pt idx="7">
                  <c:v>65373.79</c:v>
                </c:pt>
                <c:pt idx="8">
                  <c:v>11999.04</c:v>
                </c:pt>
                <c:pt idx="9">
                  <c:v>102585.57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C8-4F86-99F4-373473BE4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Stock'!$D$4,'BM -ALL- Stock'!$D$7,'BM -ALL- Stock'!$D$10,'BM -ALL- Stock'!$D$13,'BM -ALL- Stock'!$D$16,'BM -ALL- Stock'!$D$19,'BM -ALL- Stock'!$D$22,'BM -ALL- Stock'!$D$25,'BM -ALL- Stock'!$D$28,'BM -ALL- Stock'!$D$31)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71-4730-B2C5-7062B61131FC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Stock'!$J$4,'BM -ALL- Stock'!$J$7,'BM -ALL- Stock'!$J$10,'BM -ALL- Stock'!$J$13,'BM -ALL- Stock'!$J$16,'BM -ALL- Stock'!$J$19,'BM -ALL- Stock'!$J$22,'BM -ALL- Stock'!$J$25,'BM -ALL- Stock'!$J$28,'BM -ALL- Stock'!$J$31)</c:f>
              <c:numCache>
                <c:formatCode>\$#,##0.00</c:formatCode>
                <c:ptCount val="10"/>
                <c:pt idx="0">
                  <c:v>0</c:v>
                </c:pt>
                <c:pt idx="1">
                  <c:v>81.22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835.75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71-4730-B2C5-7062B61131FC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Stock'!$Q$4,'BM -ALL- Stock'!$Q$7,'BM -ALL- Stock'!$Q$10,'BM -ALL- Stock'!$Q$13,'BM -ALL- Stock'!$Q$16,'BM -ALL- Stock'!$Q$19,'BM -ALL- Stock'!$Q$22,'BM -ALL- Stock'!$Q$25,'BM -ALL- Stock'!$Q$28,'BM -ALL- Stock'!$Q$31)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71-4730-B2C5-7062B6113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Stock'!$G$2,'BM -ALL- Stock'!$G$5,'BM -ALL- Stock'!$G$8,'BM -ALL- Stock'!$G$11,'BM -ALL- Stock'!$G$14,'BM -ALL- Stock'!$G$17,'BM -ALL- Stock'!$G$20,'BM -ALL- Stock'!$G$23,'BM -ALL- Stock'!$G$26,'BM -ALL- Stock'!$G$29)</c:f>
              <c:numCache>
                <c:formatCode>\$#,##0.00</c:formatCode>
                <c:ptCount val="10"/>
                <c:pt idx="0">
                  <c:v>0</c:v>
                </c:pt>
                <c:pt idx="1">
                  <c:v>19751.900000000001</c:v>
                </c:pt>
                <c:pt idx="2">
                  <c:v>1114.58</c:v>
                </c:pt>
                <c:pt idx="3">
                  <c:v>1419.15</c:v>
                </c:pt>
                <c:pt idx="4">
                  <c:v>2043.92</c:v>
                </c:pt>
                <c:pt idx="5">
                  <c:v>13895.57</c:v>
                </c:pt>
                <c:pt idx="6">
                  <c:v>10067.540000000001</c:v>
                </c:pt>
                <c:pt idx="7">
                  <c:v>0</c:v>
                </c:pt>
                <c:pt idx="8">
                  <c:v>0</c:v>
                </c:pt>
                <c:pt idx="9">
                  <c:v>2898.22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60-4630-AC2F-5F2F65C41064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Stock'!$M$2,'BM -ALL- Stock'!$M$5,'BM -ALL- Stock'!$M$8,'BM -ALL- Stock'!$M$11,'BM -ALL- Stock'!$M$14,'BM -ALL- Stock'!$M$17,'BM -ALL- Stock'!$M$20,'BM -ALL- Stock'!$M$23,'BM -ALL- Stock'!$M$26,'BM -ALL- Stock'!$M$29)</c:f>
              <c:numCache>
                <c:formatCode>\$#,##0.00</c:formatCode>
                <c:ptCount val="10"/>
                <c:pt idx="0">
                  <c:v>0</c:v>
                </c:pt>
                <c:pt idx="1">
                  <c:v>30765.74</c:v>
                </c:pt>
                <c:pt idx="2">
                  <c:v>49.71</c:v>
                </c:pt>
                <c:pt idx="3">
                  <c:v>1699.73</c:v>
                </c:pt>
                <c:pt idx="4">
                  <c:v>2842.84</c:v>
                </c:pt>
                <c:pt idx="5">
                  <c:v>10931.18</c:v>
                </c:pt>
                <c:pt idx="6">
                  <c:v>4567.74</c:v>
                </c:pt>
                <c:pt idx="7">
                  <c:v>0</c:v>
                </c:pt>
                <c:pt idx="8">
                  <c:v>0</c:v>
                </c:pt>
                <c:pt idx="9">
                  <c:v>945.37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60-4630-AC2F-5F2F65C41064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Stock'!$T$2,'BM -ALL- Stock'!$T$5,'BM -ALL- Stock'!$T$8,'BM -ALL- Stock'!$T$11,'BM -ALL- Stock'!$T$14,'BM -ALL- Stock'!$T$17,'BM -ALL- Stock'!$T$20,'BM -ALL- Stock'!$T$23,'BM -ALL- Stock'!$T$26,'BM -ALL- Stock'!$T$29)</c:f>
              <c:numCache>
                <c:formatCode>\$#,##0.00</c:formatCode>
                <c:ptCount val="10"/>
                <c:pt idx="0">
                  <c:v>0</c:v>
                </c:pt>
                <c:pt idx="1">
                  <c:v>35165.31</c:v>
                </c:pt>
                <c:pt idx="2">
                  <c:v>2702.68</c:v>
                </c:pt>
                <c:pt idx="3">
                  <c:v>1695</c:v>
                </c:pt>
                <c:pt idx="4">
                  <c:v>1548.36</c:v>
                </c:pt>
                <c:pt idx="5">
                  <c:v>10106.370000000001</c:v>
                </c:pt>
                <c:pt idx="6">
                  <c:v>7457.92</c:v>
                </c:pt>
                <c:pt idx="7">
                  <c:v>0</c:v>
                </c:pt>
                <c:pt idx="8">
                  <c:v>1460</c:v>
                </c:pt>
                <c:pt idx="9">
                  <c:v>1419.13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60-4630-AC2F-5F2F65C41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Stock'!$G$3,'BM -ALL- Stock'!$G$6,'BM -ALL- Stock'!$G$9,'BM -ALL- Stock'!$G$12,'BM -ALL- Stock'!$G$15,'BM -ALL- Stock'!$G$18,'BM -ALL- Stock'!$G$21,'BM -ALL- Stock'!$G$24,'BM -ALL- Stock'!$G$27,'BM -ALL- Stock'!$G$30)</c:f>
              <c:numCache>
                <c:formatCode>\$#,##0.00</c:formatCode>
                <c:ptCount val="10"/>
                <c:pt idx="0">
                  <c:v>109</c:v>
                </c:pt>
                <c:pt idx="1">
                  <c:v>42818.86</c:v>
                </c:pt>
                <c:pt idx="2">
                  <c:v>11751.63</c:v>
                </c:pt>
                <c:pt idx="3">
                  <c:v>636.21</c:v>
                </c:pt>
                <c:pt idx="4">
                  <c:v>2272.33</c:v>
                </c:pt>
                <c:pt idx="5">
                  <c:v>4600.38</c:v>
                </c:pt>
                <c:pt idx="6">
                  <c:v>3732.23</c:v>
                </c:pt>
                <c:pt idx="7">
                  <c:v>156.25</c:v>
                </c:pt>
                <c:pt idx="8">
                  <c:v>380</c:v>
                </c:pt>
                <c:pt idx="9">
                  <c:v>31338.83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84-42E7-884B-B5F54011F6E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Stock'!$M$3,'BM -ALL- Stock'!$M$6,'BM -ALL- Stock'!$M$9,'BM -ALL- Stock'!$M$12,'BM -ALL- Stock'!$M$15,'BM -ALL- Stock'!$M$18,'BM -ALL- Stock'!$M$21,'BM -ALL- Stock'!$M$24,'BM -ALL- Stock'!$M$27,'BM -ALL- Stock'!$M$30)</c:f>
              <c:numCache>
                <c:formatCode>\$#,##0.00</c:formatCode>
                <c:ptCount val="10"/>
                <c:pt idx="0">
                  <c:v>0</c:v>
                </c:pt>
                <c:pt idx="1">
                  <c:v>21760.82</c:v>
                </c:pt>
                <c:pt idx="2">
                  <c:v>1079.67</c:v>
                </c:pt>
                <c:pt idx="3">
                  <c:v>900.76</c:v>
                </c:pt>
                <c:pt idx="4">
                  <c:v>2482.7800000000002</c:v>
                </c:pt>
                <c:pt idx="5">
                  <c:v>3395.39</c:v>
                </c:pt>
                <c:pt idx="6">
                  <c:v>3029.75</c:v>
                </c:pt>
                <c:pt idx="7">
                  <c:v>4757.1899999999996</c:v>
                </c:pt>
                <c:pt idx="8">
                  <c:v>0</c:v>
                </c:pt>
                <c:pt idx="9">
                  <c:v>10198.59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84-42E7-884B-B5F54011F6E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Stock'!$T$3,'BM -ALL- Stock'!$T$6,'BM -ALL- Stock'!$T$9,'BM -ALL- Stock'!$T$12,'BM -ALL- Stock'!$T$15,'BM -ALL- Stock'!$T$18,'BM -ALL- Stock'!$T$21,'BM -ALL- Stock'!$T$24,'BM -ALL- Stock'!$T$27,'BM -ALL- Stock'!$T$30)</c:f>
              <c:numCache>
                <c:formatCode>\$#,##0.00</c:formatCode>
                <c:ptCount val="10"/>
                <c:pt idx="0">
                  <c:v>0</c:v>
                </c:pt>
                <c:pt idx="1">
                  <c:v>36269.800000000003</c:v>
                </c:pt>
                <c:pt idx="2">
                  <c:v>3464.25</c:v>
                </c:pt>
                <c:pt idx="3">
                  <c:v>2408.9</c:v>
                </c:pt>
                <c:pt idx="4">
                  <c:v>142.07</c:v>
                </c:pt>
                <c:pt idx="5">
                  <c:v>3422.09</c:v>
                </c:pt>
                <c:pt idx="6">
                  <c:v>6067.17</c:v>
                </c:pt>
                <c:pt idx="7">
                  <c:v>6195.38</c:v>
                </c:pt>
                <c:pt idx="8">
                  <c:v>0</c:v>
                </c:pt>
                <c:pt idx="9">
                  <c:v>35990.5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84-42E7-884B-B5F54011F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Stock'!$G$4,'BM -ALL- Stock'!$G$7,'BM -ALL- Stock'!$G$10,'BM -ALL- Stock'!$G$13,'BM -ALL- Stock'!$G$16,'BM -ALL- Stock'!$G$19,'BM -ALL- Stock'!$G$22,'BM -ALL- Stock'!$G$25,'BM -ALL- Stock'!$G$28,'BM -ALL- Stock'!$G$31)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D-42BE-AB96-7D3E46FD949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Stock'!$M$4,'BM -ALL- Stock'!$M$7,'BM -ALL- Stock'!$M$10,'BM -ALL- Stock'!$M$13,'BM -ALL- Stock'!$M$16,'BM -ALL- Stock'!$M$19,'BM -ALL- Stock'!$M$22,'BM -ALL- Stock'!$M$25,'BM -ALL- Stock'!$M$28,'BM -ALL- Stock'!$M$31)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1D-42BE-AB96-7D3E46FD949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Stock'!$T$4,'BM -ALL- Stock'!$T$7,'BM -ALL- Stock'!$T$10,'BM -ALL- Stock'!$T$13,'BM -ALL- Stock'!$T$16,'BM -ALL- Stock'!$T$19,'BM -ALL- Stock'!$T$22,'BM -ALL- Stock'!$T$25,'BM -ALL- Stock'!$T$28,'BM -ALL- Stock'!$T$31)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1D-42BE-AB96-7D3E46FD9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</a:t>
            </a:r>
            <a:r>
              <a:rPr lang="en-US" baseline="0"/>
              <a:t> GP%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Stock'!$I$2,'BM -ALL- Stock'!$I$5,'BM -ALL- Stock'!$I$8,'BM -ALL- Stock'!$I$11,'BM -ALL- Stock'!$I$14,'BM -ALL- Stock'!$I$17,'BM -ALL- Stock'!$I$20,'BM -ALL- Stock'!$I$23,'BM -ALL- Stock'!$I$26,'BM -ALL- Stock'!$I$29)</c:f>
              <c:numCache>
                <c:formatCode>0.0%</c:formatCode>
                <c:ptCount val="10"/>
                <c:pt idx="0">
                  <c:v>0</c:v>
                </c:pt>
                <c:pt idx="1">
                  <c:v>0.32600000000000001</c:v>
                </c:pt>
                <c:pt idx="2">
                  <c:v>0.40600000000000003</c:v>
                </c:pt>
                <c:pt idx="3">
                  <c:v>0.30099999999999999</c:v>
                </c:pt>
                <c:pt idx="4">
                  <c:v>0.32700000000000001</c:v>
                </c:pt>
                <c:pt idx="5">
                  <c:v>0.34799999999999998</c:v>
                </c:pt>
                <c:pt idx="6">
                  <c:v>0.25800000000000001</c:v>
                </c:pt>
                <c:pt idx="7">
                  <c:v>0</c:v>
                </c:pt>
                <c:pt idx="8">
                  <c:v>0</c:v>
                </c:pt>
                <c:pt idx="9">
                  <c:v>0.25600000000000001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77-4FA1-9493-A62FEFD61D81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Stock'!$O$2,'BM -ALL- Stock'!$O$5,'BM -ALL- Stock'!$O$8,'BM -ALL- Stock'!$O$11,'BM -ALL- Stock'!$O$14,'BM -ALL- Stock'!$O$17,'BM -ALL- Stock'!$O$20,'BM -ALL- Stock'!$O$23,'BM -ALL- Stock'!$O$26,'BM -ALL- Stock'!$O$29)</c:f>
              <c:numCache>
                <c:formatCode>0.0%</c:formatCode>
                <c:ptCount val="10"/>
                <c:pt idx="0">
                  <c:v>0</c:v>
                </c:pt>
                <c:pt idx="1">
                  <c:v>0.34</c:v>
                </c:pt>
                <c:pt idx="2">
                  <c:v>0.45300000000000001</c:v>
                </c:pt>
                <c:pt idx="3">
                  <c:v>0.33</c:v>
                </c:pt>
                <c:pt idx="4">
                  <c:v>0.307</c:v>
                </c:pt>
                <c:pt idx="5">
                  <c:v>0.371</c:v>
                </c:pt>
                <c:pt idx="6">
                  <c:v>0.26300000000000001</c:v>
                </c:pt>
                <c:pt idx="7">
                  <c:v>0</c:v>
                </c:pt>
                <c:pt idx="8">
                  <c:v>0</c:v>
                </c:pt>
                <c:pt idx="9">
                  <c:v>0.27700000000000002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77-4FA1-9493-A62FEFD61D81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Stock'!$V$2,'BM -ALL- Stock'!$V$5,'BM -ALL- Stock'!$V$8,'BM -ALL- Stock'!$V$11,'BM -ALL- Stock'!$V$14,'BM -ALL- Stock'!$V$17,'BM -ALL- Stock'!$V$20,'BM -ALL- Stock'!$V$23,'BM -ALL- Stock'!$V$26,'BM -ALL- Stock'!$V$29)</c:f>
              <c:numCache>
                <c:formatCode>0.0%</c:formatCode>
                <c:ptCount val="10"/>
                <c:pt idx="0">
                  <c:v>0</c:v>
                </c:pt>
                <c:pt idx="1">
                  <c:v>0.32800000000000001</c:v>
                </c:pt>
                <c:pt idx="2">
                  <c:v>0.32900000000000001</c:v>
                </c:pt>
                <c:pt idx="3">
                  <c:v>0.31900000000000001</c:v>
                </c:pt>
                <c:pt idx="4">
                  <c:v>0.28100000000000003</c:v>
                </c:pt>
                <c:pt idx="5">
                  <c:v>0.34799999999999998</c:v>
                </c:pt>
                <c:pt idx="6">
                  <c:v>0.22500000000000001</c:v>
                </c:pt>
                <c:pt idx="7">
                  <c:v>0</c:v>
                </c:pt>
                <c:pt idx="8">
                  <c:v>0.47299999999999998</c:v>
                </c:pt>
                <c:pt idx="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77-4FA1-9493-A62FEFD61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</a:t>
            </a:r>
            <a:r>
              <a:rPr lang="en-US" baseline="0"/>
              <a:t> GP%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Stock'!$I$3,'BM -ALL- Stock'!$I$6,'BM -ALL- Stock'!$I$9,'BM -ALL- Stock'!$I$12,'BM -ALL- Stock'!$I$15,'BM -ALL- Stock'!$I$18,'BM -ALL- Stock'!$I$21,'BM -ALL- Stock'!$I$24,'BM -ALL- Stock'!$I$27,'BM -ALL- Stock'!$I$30)</c:f>
              <c:numCache>
                <c:formatCode>0.0%</c:formatCode>
                <c:ptCount val="10"/>
                <c:pt idx="0">
                  <c:v>0.28999999999999998</c:v>
                </c:pt>
                <c:pt idx="1">
                  <c:v>0.29799999999999999</c:v>
                </c:pt>
                <c:pt idx="2">
                  <c:v>0.22500000000000001</c:v>
                </c:pt>
                <c:pt idx="3">
                  <c:v>0.27200000000000002</c:v>
                </c:pt>
                <c:pt idx="4">
                  <c:v>0.29299999999999998</c:v>
                </c:pt>
                <c:pt idx="5">
                  <c:v>0.311</c:v>
                </c:pt>
                <c:pt idx="6">
                  <c:v>0.26300000000000001</c:v>
                </c:pt>
                <c:pt idx="7">
                  <c:v>0.20100000000000001</c:v>
                </c:pt>
                <c:pt idx="8">
                  <c:v>0.44700000000000001</c:v>
                </c:pt>
                <c:pt idx="9">
                  <c:v>0.21099999999999999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11-4948-A5CC-801981D44C17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Stock'!$O$3,'BM -ALL- Stock'!$O$6,'BM -ALL- Stock'!$O$9,'BM -ALL- Stock'!$O$12,'BM -ALL- Stock'!$O$15,'BM -ALL- Stock'!$O$18,'BM -ALL- Stock'!$O$21,'BM -ALL- Stock'!$O$24,'BM -ALL- Stock'!$O$27,'BM -ALL- Stock'!$O$30)</c:f>
              <c:numCache>
                <c:formatCode>0.0%</c:formatCode>
                <c:ptCount val="10"/>
                <c:pt idx="0">
                  <c:v>0</c:v>
                </c:pt>
                <c:pt idx="1">
                  <c:v>0.34100000000000003</c:v>
                </c:pt>
                <c:pt idx="2">
                  <c:v>0.27200000000000002</c:v>
                </c:pt>
                <c:pt idx="3">
                  <c:v>0.21299999999999999</c:v>
                </c:pt>
                <c:pt idx="4">
                  <c:v>0.249</c:v>
                </c:pt>
                <c:pt idx="5">
                  <c:v>0.32600000000000001</c:v>
                </c:pt>
                <c:pt idx="6">
                  <c:v>0.248</c:v>
                </c:pt>
                <c:pt idx="7">
                  <c:v>0.3</c:v>
                </c:pt>
                <c:pt idx="8">
                  <c:v>0</c:v>
                </c:pt>
                <c:pt idx="9">
                  <c:v>0.19900000000000001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11-4948-A5CC-801981D44C17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Stock'!$V$3,'BM -ALL- Stock'!$V$6,'BM -ALL- Stock'!$V$9,'BM -ALL- Stock'!$V$12,'BM -ALL- Stock'!$V$15,'BM -ALL- Stock'!$V$18,'BM -ALL- Stock'!$V$21,'BM -ALL- Stock'!$V$24,'BM -ALL- Stock'!$V$27,'BM -ALL- Stock'!$V$30)</c:f>
              <c:numCache>
                <c:formatCode>0.0%</c:formatCode>
                <c:ptCount val="10"/>
                <c:pt idx="0">
                  <c:v>0</c:v>
                </c:pt>
                <c:pt idx="1">
                  <c:v>0.29099999999999998</c:v>
                </c:pt>
                <c:pt idx="2">
                  <c:v>0.29099999999999998</c:v>
                </c:pt>
                <c:pt idx="3">
                  <c:v>0.30399999999999999</c:v>
                </c:pt>
                <c:pt idx="4">
                  <c:v>0.376</c:v>
                </c:pt>
                <c:pt idx="5">
                  <c:v>0.23599999999999999</c:v>
                </c:pt>
                <c:pt idx="6">
                  <c:v>0.249</c:v>
                </c:pt>
                <c:pt idx="7">
                  <c:v>0.22600000000000001</c:v>
                </c:pt>
                <c:pt idx="8">
                  <c:v>0</c:v>
                </c:pt>
                <c:pt idx="9">
                  <c:v>0.252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11-4948-A5CC-801981D44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</a:t>
            </a:r>
            <a:r>
              <a:rPr lang="en-US" baseline="0"/>
              <a:t>GP%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Stock'!$I$4,'BM -ALL- Stock'!$I$7,'BM -ALL- Stock'!$I$10,'BM -ALL- Stock'!$I$13,'BM -ALL- Stock'!$I$16,'BM -ALL- Stock'!$I$19,'BM -ALL- Stock'!$I$22,'BM -ALL- Stock'!$I$25,'BM -ALL- Stock'!$I$28,'BM -ALL- Stock'!$I$31)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1C75-4A4F-BECA-3667D7DAE3C8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Stock'!$O$4,'BM -ALL- Stock'!$O$7,'BM -ALL- Stock'!$O$10,'BM -ALL- Stock'!$O$13,'BM -ALL- Stock'!$O$16,'BM -ALL- Stock'!$O$19,'BM -ALL- Stock'!$O$22,'BM -ALL- Stock'!$O$25,'BM -ALL- Stock'!$O$28,'BM -ALL- Stock'!$O$31)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1C75-4A4F-BECA-3667D7DAE3C8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Stock'!$V$4,'BM -ALL- Stock'!$V$7,'BM -ALL- Stock'!$V$10,'BM -ALL- Stock'!$V$13,'BM -ALL- Stock'!$V$16,'BM -ALL- Stock'!$V$19,'BM -ALL- Stock'!$V$22,'BM -ALL- Stock'!$V$25,'BM -ALL- Stock'!$V$28,'BM -ALL- Stock'!$V$31)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1C75-4A4F-BECA-3667D7DAE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</a:t>
            </a:r>
            <a:r>
              <a:rPr lang="en-US" baseline="0"/>
              <a:t> GP$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Stock'!$H$2,'BM -ALL- Stock'!$H$5,'BM -ALL- Stock'!$H$8,'BM -ALL- Stock'!$H$11,'BM -ALL- Stock'!$H$14,'BM -ALL- Stock'!$H$17,'BM -ALL- Stock'!$H$20,'BM -ALL- Stock'!$H$23,'BM -ALL- Stock'!$H$26,'BM -ALL- Stock'!$H$29)</c:f>
              <c:numCache>
                <c:formatCode>\$#,##0.00</c:formatCode>
                <c:ptCount val="10"/>
                <c:pt idx="0">
                  <c:v>0</c:v>
                </c:pt>
                <c:pt idx="1">
                  <c:v>6443</c:v>
                </c:pt>
                <c:pt idx="2">
                  <c:v>452.59</c:v>
                </c:pt>
                <c:pt idx="3">
                  <c:v>426.47</c:v>
                </c:pt>
                <c:pt idx="4">
                  <c:v>667.73</c:v>
                </c:pt>
                <c:pt idx="5">
                  <c:v>4833.29</c:v>
                </c:pt>
                <c:pt idx="6">
                  <c:v>2601.85</c:v>
                </c:pt>
                <c:pt idx="7">
                  <c:v>0</c:v>
                </c:pt>
                <c:pt idx="8">
                  <c:v>0</c:v>
                </c:pt>
                <c:pt idx="9">
                  <c:v>740.59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D5-49EA-983A-03A44A3DD7B9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Stock'!$N$2,'BM -ALL- Stock'!$N$5,'BM -ALL- Stock'!$N$8,'BM -ALL- Stock'!$N$11,'BM -ALL- Stock'!$N$14,'BM -ALL- Stock'!$N$17,'BM -ALL- Stock'!$N$20,'BM -ALL- Stock'!$N$23,'BM -ALL- Stock'!$N$26,'BM -ALL- Stock'!$N$29)</c:f>
              <c:numCache>
                <c:formatCode>\$#,##0.00</c:formatCode>
                <c:ptCount val="10"/>
                <c:pt idx="0">
                  <c:v>0</c:v>
                </c:pt>
                <c:pt idx="1">
                  <c:v>10457.469999999999</c:v>
                </c:pt>
                <c:pt idx="2">
                  <c:v>22.5</c:v>
                </c:pt>
                <c:pt idx="3">
                  <c:v>561.33000000000004</c:v>
                </c:pt>
                <c:pt idx="4">
                  <c:v>872.96</c:v>
                </c:pt>
                <c:pt idx="5">
                  <c:v>4057.17</c:v>
                </c:pt>
                <c:pt idx="6">
                  <c:v>1203.27</c:v>
                </c:pt>
                <c:pt idx="7">
                  <c:v>0</c:v>
                </c:pt>
                <c:pt idx="8">
                  <c:v>0</c:v>
                </c:pt>
                <c:pt idx="9">
                  <c:v>261.89999999999998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D5-49EA-983A-03A44A3DD7B9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Stock'!$U$2,'BM -ALL- Stock'!$U$5,'BM -ALL- Stock'!$U$8,'BM -ALL- Stock'!$U$11,'BM -ALL- Stock'!$U$14,'BM -ALL- Stock'!$U$17,'BM -ALL- Stock'!$U$20,'BM -ALL- Stock'!$U$23,'BM -ALL- Stock'!$U$26,'BM -ALL- Stock'!$U$29)</c:f>
              <c:numCache>
                <c:formatCode>\$#,##0.00</c:formatCode>
                <c:ptCount val="10"/>
                <c:pt idx="0">
                  <c:v>0</c:v>
                </c:pt>
                <c:pt idx="1">
                  <c:v>11550.96</c:v>
                </c:pt>
                <c:pt idx="2">
                  <c:v>889.89</c:v>
                </c:pt>
                <c:pt idx="3">
                  <c:v>540.29</c:v>
                </c:pt>
                <c:pt idx="4">
                  <c:v>435</c:v>
                </c:pt>
                <c:pt idx="5">
                  <c:v>3514.7</c:v>
                </c:pt>
                <c:pt idx="6">
                  <c:v>1677.08</c:v>
                </c:pt>
                <c:pt idx="7">
                  <c:v>0</c:v>
                </c:pt>
                <c:pt idx="8">
                  <c:v>690.08</c:v>
                </c:pt>
                <c:pt idx="9">
                  <c:v>425.94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D5-49EA-983A-03A44A3DD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GP%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Dashboard'!$K$3:$K$21</c:f>
              <c:numCache>
                <c:formatCode>0.0%</c:formatCode>
                <c:ptCount val="19"/>
                <c:pt idx="0">
                  <c:v>0.28000000000000003</c:v>
                </c:pt>
                <c:pt idx="1">
                  <c:v>0.28000000000000003</c:v>
                </c:pt>
                <c:pt idx="2">
                  <c:v>0</c:v>
                </c:pt>
                <c:pt idx="3">
                  <c:v>0.30499999999999999</c:v>
                </c:pt>
                <c:pt idx="4">
                  <c:v>0.33167942040690068</c:v>
                </c:pt>
                <c:pt idx="5">
                  <c:v>0.21963602773933788</c:v>
                </c:pt>
                <c:pt idx="6">
                  <c:v>0.22500000000000001</c:v>
                </c:pt>
                <c:pt idx="7">
                  <c:v>0.37530336719419877</c:v>
                </c:pt>
                <c:pt idx="8">
                  <c:v>0.20885144252062582</c:v>
                </c:pt>
                <c:pt idx="9">
                  <c:v>0.34</c:v>
                </c:pt>
                <c:pt idx="10">
                  <c:v>0.34420483348806363</c:v>
                </c:pt>
                <c:pt idx="11">
                  <c:v>0.22553533875290388</c:v>
                </c:pt>
                <c:pt idx="12">
                  <c:v>0.29599999999999999</c:v>
                </c:pt>
                <c:pt idx="13">
                  <c:v>0.27208947418953477</c:v>
                </c:pt>
                <c:pt idx="14">
                  <c:v>0.36864123159303874</c:v>
                </c:pt>
                <c:pt idx="15">
                  <c:v>0.34399999999999997</c:v>
                </c:pt>
                <c:pt idx="16">
                  <c:v>0.34378834410359038</c:v>
                </c:pt>
                <c:pt idx="17">
                  <c:v>0</c:v>
                </c:pt>
                <c:pt idx="18">
                  <c:v>0.2976816716379046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80-43D4-8451-8DEA8ECF680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Dashboard'!$W$3:$W$21</c:f>
              <c:numCache>
                <c:formatCode>0.0%</c:formatCode>
                <c:ptCount val="19"/>
                <c:pt idx="0">
                  <c:v>0.315</c:v>
                </c:pt>
                <c:pt idx="1">
                  <c:v>0.315</c:v>
                </c:pt>
                <c:pt idx="2">
                  <c:v>0</c:v>
                </c:pt>
                <c:pt idx="3">
                  <c:v>0.29099999999999998</c:v>
                </c:pt>
                <c:pt idx="4">
                  <c:v>0.3198545484349572</c:v>
                </c:pt>
                <c:pt idx="5">
                  <c:v>0.21666136055420182</c:v>
                </c:pt>
                <c:pt idx="6">
                  <c:v>0.215</c:v>
                </c:pt>
                <c:pt idx="7">
                  <c:v>0.37164755947017247</c:v>
                </c:pt>
                <c:pt idx="8">
                  <c:v>0.20466285025195763</c:v>
                </c:pt>
                <c:pt idx="9">
                  <c:v>0.38700000000000001</c:v>
                </c:pt>
                <c:pt idx="10">
                  <c:v>0.3890859329998041</c:v>
                </c:pt>
                <c:pt idx="11">
                  <c:v>0.32278576835730521</c:v>
                </c:pt>
                <c:pt idx="12">
                  <c:v>0.64800000000000002</c:v>
                </c:pt>
                <c:pt idx="13">
                  <c:v>0.27552955439170557</c:v>
                </c:pt>
                <c:pt idx="14">
                  <c:v>0</c:v>
                </c:pt>
                <c:pt idx="15">
                  <c:v>0.39200000000000002</c:v>
                </c:pt>
                <c:pt idx="16">
                  <c:v>0.39221741131075472</c:v>
                </c:pt>
                <c:pt idx="17">
                  <c:v>0</c:v>
                </c:pt>
                <c:pt idx="18">
                  <c:v>0.33012511614147366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80-43D4-8451-8DEA8ECF680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Dashboard'!$AJ$3:$AJ$21</c:f>
              <c:numCache>
                <c:formatCode>0.0%</c:formatCode>
                <c:ptCount val="19"/>
                <c:pt idx="0">
                  <c:v>0.28799999999999998</c:v>
                </c:pt>
                <c:pt idx="1">
                  <c:v>0.28799999999999998</c:v>
                </c:pt>
                <c:pt idx="2">
                  <c:v>0</c:v>
                </c:pt>
                <c:pt idx="3">
                  <c:v>0.24099999999999999</c:v>
                </c:pt>
                <c:pt idx="4">
                  <c:v>0.27930027043267169</c:v>
                </c:pt>
                <c:pt idx="5">
                  <c:v>0.16869904633117716</c:v>
                </c:pt>
                <c:pt idx="6">
                  <c:v>0.20499999999999999</c:v>
                </c:pt>
                <c:pt idx="7">
                  <c:v>0.40397053985032283</c:v>
                </c:pt>
                <c:pt idx="8">
                  <c:v>0.19231109741939456</c:v>
                </c:pt>
                <c:pt idx="9">
                  <c:v>0.39700000000000002</c:v>
                </c:pt>
                <c:pt idx="10">
                  <c:v>0.40403848363537376</c:v>
                </c:pt>
                <c:pt idx="11">
                  <c:v>0.28805467468769008</c:v>
                </c:pt>
                <c:pt idx="12">
                  <c:v>0.31</c:v>
                </c:pt>
                <c:pt idx="13">
                  <c:v>0.29131283141149256</c:v>
                </c:pt>
                <c:pt idx="14">
                  <c:v>0</c:v>
                </c:pt>
                <c:pt idx="15">
                  <c:v>0.31</c:v>
                </c:pt>
                <c:pt idx="16">
                  <c:v>0.34541313008946872</c:v>
                </c:pt>
                <c:pt idx="17">
                  <c:v>0.20482913209327935</c:v>
                </c:pt>
                <c:pt idx="18">
                  <c:v>0.26837007398624435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80-43D4-8451-8DEA8ECF6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7119879"/>
        <c:axId val="1527121927"/>
      </c:barChart>
      <c:catAx>
        <c:axId val="1527119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7121927"/>
        <c:crosses val="autoZero"/>
        <c:auto val="1"/>
        <c:lblAlgn val="ctr"/>
        <c:lblOffset val="100"/>
        <c:noMultiLvlLbl val="0"/>
      </c:catAx>
      <c:valAx>
        <c:axId val="1527121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711987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</a:t>
            </a:r>
            <a:r>
              <a:rPr lang="en-US" baseline="0"/>
              <a:t>GP$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Stock'!$H$3,'BM -ALL- Stock'!$H$6,'BM -ALL- Stock'!$H$9,'BM -ALL- Stock'!$H$12,'BM -ALL- Stock'!$H$15,'BM -ALL- Stock'!$H$18,'BM -ALL- Stock'!$H$21,'BM -ALL- Stock'!$H$24,'BM -ALL- Stock'!$H$27,'BM -ALL- Stock'!$H$30)</c:f>
              <c:numCache>
                <c:formatCode>\$#,##0.00</c:formatCode>
                <c:ptCount val="10"/>
                <c:pt idx="0">
                  <c:v>31.6</c:v>
                </c:pt>
                <c:pt idx="1">
                  <c:v>12758.5</c:v>
                </c:pt>
                <c:pt idx="2">
                  <c:v>2649.55</c:v>
                </c:pt>
                <c:pt idx="3">
                  <c:v>173.14</c:v>
                </c:pt>
                <c:pt idx="4">
                  <c:v>666.74</c:v>
                </c:pt>
                <c:pt idx="5">
                  <c:v>1431.03</c:v>
                </c:pt>
                <c:pt idx="6">
                  <c:v>981.34</c:v>
                </c:pt>
                <c:pt idx="7">
                  <c:v>31.4</c:v>
                </c:pt>
                <c:pt idx="8">
                  <c:v>170.02</c:v>
                </c:pt>
                <c:pt idx="9">
                  <c:v>6624.53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C-485D-BF21-163239173693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Stock'!$N$3,'BM -ALL- Stock'!$N$6,'BM -ALL- Stock'!$N$9,'BM -ALL- Stock'!$N$12,'BM -ALL- Stock'!$N$15,'BM -ALL- Stock'!$N$18,'BM -ALL- Stock'!$N$21,'BM -ALL- Stock'!$N$24,'BM -ALL- Stock'!$N$27,'BM -ALL- Stock'!$N$30)</c:f>
              <c:numCache>
                <c:formatCode>\$#,##0.00</c:formatCode>
                <c:ptCount val="10"/>
                <c:pt idx="0">
                  <c:v>0</c:v>
                </c:pt>
                <c:pt idx="1">
                  <c:v>7419.66</c:v>
                </c:pt>
                <c:pt idx="2">
                  <c:v>293.27999999999997</c:v>
                </c:pt>
                <c:pt idx="3">
                  <c:v>191.68</c:v>
                </c:pt>
                <c:pt idx="4">
                  <c:v>617.72</c:v>
                </c:pt>
                <c:pt idx="5">
                  <c:v>1105.68</c:v>
                </c:pt>
                <c:pt idx="6">
                  <c:v>751.79</c:v>
                </c:pt>
                <c:pt idx="7">
                  <c:v>1428.76</c:v>
                </c:pt>
                <c:pt idx="8">
                  <c:v>0</c:v>
                </c:pt>
                <c:pt idx="9">
                  <c:v>2033.8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C-485D-BF21-163239173693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Stock'!$U$3,'BM -ALL- Stock'!$U$6,'BM -ALL- Stock'!$U$9,'BM -ALL- Stock'!$U$12,'BM -ALL- Stock'!$U$15,'BM -ALL- Stock'!$U$18,'BM -ALL- Stock'!$U$21,'BM -ALL- Stock'!$U$24,'BM -ALL- Stock'!$U$27,'BM -ALL- Stock'!$U$30)</c:f>
              <c:numCache>
                <c:formatCode>\$#,##0.00</c:formatCode>
                <c:ptCount val="10"/>
                <c:pt idx="0">
                  <c:v>0</c:v>
                </c:pt>
                <c:pt idx="1">
                  <c:v>10546.4</c:v>
                </c:pt>
                <c:pt idx="2">
                  <c:v>1008.49</c:v>
                </c:pt>
                <c:pt idx="3">
                  <c:v>731.94</c:v>
                </c:pt>
                <c:pt idx="4">
                  <c:v>53.39</c:v>
                </c:pt>
                <c:pt idx="5">
                  <c:v>807.5</c:v>
                </c:pt>
                <c:pt idx="6">
                  <c:v>1512.04</c:v>
                </c:pt>
                <c:pt idx="7">
                  <c:v>1398.07</c:v>
                </c:pt>
                <c:pt idx="8">
                  <c:v>0</c:v>
                </c:pt>
                <c:pt idx="9">
                  <c:v>9070.4500000000007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DC-485D-BF21-163239173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</a:t>
            </a:r>
            <a:r>
              <a:rPr lang="en-US" baseline="0"/>
              <a:t>GP$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Stock'!$H$4,'BM -ALL- Stock'!$H$7,'BM -ALL- Stock'!$H$10,'BM -ALL- Stock'!$H$13,'BM -ALL- Stock'!$H$16,'BM -ALL- Stock'!$H$19,'BM -ALL- Stock'!$H$22,'BM -ALL- Stock'!$H$25,'BM -ALL- Stock'!$H$28,'BM -ALL- Stock'!$H$31)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93-47EC-9600-29436F22C8F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Stock'!$N$4,'BM -ALL- Stock'!$N$7,'BM -ALL- Stock'!$N$10,'BM -ALL- Stock'!$N$13,'BM -ALL- Stock'!$N$16,'BM -ALL- Stock'!$N$19,'BM -ALL- Stock'!$N$22,'BM -ALL- Stock'!$N$25,'BM -ALL- Stock'!$N$28,'BM -ALL- Stock'!$N$31)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393-47EC-9600-29436F22C8F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Stock'!$U$4,'BM -ALL- Stock'!$U$7,'BM -ALL- Stock'!$U$10,'BM -ALL- Stock'!$U$13,'BM -ALL- Stock'!$U$16,'BM -ALL- Stock'!$U$19,'BM -ALL- Stock'!$U$22,'BM -ALL- Stock'!$U$25,'BM -ALL- Stock'!$U$28,'BM -ALL- Stock'!$U$31)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393-47EC-9600-29436F22C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All'!$D$2,'L - All'!$D$5,'L - All'!$D$8,'L - All'!$D$11,'L - All'!$D$14,'L - All'!$D$17,'L - All'!$D$20,'L - All'!$D$23,'L - All'!$D$26,'L - All'!$D$29)</c:f>
              <c:numCache>
                <c:formatCode>\$#,##0.00</c:formatCode>
                <c:ptCount val="10"/>
                <c:pt idx="0">
                  <c:v>3095.19</c:v>
                </c:pt>
                <c:pt idx="1">
                  <c:v>42391.83</c:v>
                </c:pt>
                <c:pt idx="2">
                  <c:v>10741.74</c:v>
                </c:pt>
                <c:pt idx="3">
                  <c:v>40490</c:v>
                </c:pt>
                <c:pt idx="4">
                  <c:v>13493.01</c:v>
                </c:pt>
                <c:pt idx="5">
                  <c:v>16729.900000000001</c:v>
                </c:pt>
                <c:pt idx="6">
                  <c:v>31841.7</c:v>
                </c:pt>
                <c:pt idx="7">
                  <c:v>3905.85</c:v>
                </c:pt>
                <c:pt idx="8">
                  <c:v>0</c:v>
                </c:pt>
                <c:pt idx="9">
                  <c:v>1807.58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A9-4BDD-8F9B-9A18E9FD3D7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All'!$J$2,'L - All'!$J$5,'L - All'!$J$8,'L - All'!$J$11,'L - All'!$J$14,'L - All'!$J$17,'L - All'!$J$20,'L - All'!$J$23,'L - All'!$J$26,'L - All'!$J$29)</c:f>
              <c:numCache>
                <c:formatCode>\$#,##0.00</c:formatCode>
                <c:ptCount val="10"/>
                <c:pt idx="0">
                  <c:v>2864.61</c:v>
                </c:pt>
                <c:pt idx="1">
                  <c:v>33081.49</c:v>
                </c:pt>
                <c:pt idx="2">
                  <c:v>12749.1</c:v>
                </c:pt>
                <c:pt idx="3">
                  <c:v>31138.97</c:v>
                </c:pt>
                <c:pt idx="4">
                  <c:v>10402.64</c:v>
                </c:pt>
                <c:pt idx="5">
                  <c:v>15967.88</c:v>
                </c:pt>
                <c:pt idx="6">
                  <c:v>22859.48</c:v>
                </c:pt>
                <c:pt idx="7">
                  <c:v>1257.58</c:v>
                </c:pt>
                <c:pt idx="8">
                  <c:v>0</c:v>
                </c:pt>
                <c:pt idx="9">
                  <c:v>1048.93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A9-4BDD-8F9B-9A18E9FD3D7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All'!$Q$2,'L - All'!$Q$5,'L - All'!$Q$8,'L - All'!$Q$11,'L - All'!$Q$14,'L - All'!$Q$17,'L - All'!$Q$20,'L - All'!$Q$23,'L - All'!$Q$26,'L - All'!$Q$29)</c:f>
              <c:numCache>
                <c:formatCode>\$#,##0.00</c:formatCode>
                <c:ptCount val="10"/>
                <c:pt idx="0">
                  <c:v>3996.11</c:v>
                </c:pt>
                <c:pt idx="1">
                  <c:v>37326.28</c:v>
                </c:pt>
                <c:pt idx="2">
                  <c:v>8146.52</c:v>
                </c:pt>
                <c:pt idx="3">
                  <c:v>28880.89</c:v>
                </c:pt>
                <c:pt idx="4">
                  <c:v>6799.26</c:v>
                </c:pt>
                <c:pt idx="5">
                  <c:v>25401</c:v>
                </c:pt>
                <c:pt idx="6">
                  <c:v>19613.05</c:v>
                </c:pt>
                <c:pt idx="7">
                  <c:v>17.600000000000001</c:v>
                </c:pt>
                <c:pt idx="8">
                  <c:v>39.700000000000003</c:v>
                </c:pt>
                <c:pt idx="9">
                  <c:v>744.32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A9-4BDD-8F9B-9A18E9FD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All'!$D$3,'L - All'!$D$6,'L - All'!$D$9,'L - All'!$D$12,'L - All'!$D$15,'L - All'!$D$18,'L - All'!$D$21,'L - All'!$D$24,'L - All'!$D$27,'L - All'!$D$30)</c:f>
              <c:numCache>
                <c:formatCode>\$#,##0.00</c:formatCode>
                <c:ptCount val="10"/>
                <c:pt idx="0">
                  <c:v>6522.52</c:v>
                </c:pt>
                <c:pt idx="1">
                  <c:v>76345.600000000006</c:v>
                </c:pt>
                <c:pt idx="2">
                  <c:v>0</c:v>
                </c:pt>
                <c:pt idx="3">
                  <c:v>116418.5</c:v>
                </c:pt>
                <c:pt idx="4">
                  <c:v>24718.06</c:v>
                </c:pt>
                <c:pt idx="5">
                  <c:v>52236.59</c:v>
                </c:pt>
                <c:pt idx="6">
                  <c:v>67513.56</c:v>
                </c:pt>
                <c:pt idx="7">
                  <c:v>67639.25</c:v>
                </c:pt>
                <c:pt idx="8">
                  <c:v>3422.64</c:v>
                </c:pt>
                <c:pt idx="9">
                  <c:v>28248.78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98-407A-B027-896D57D742E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All'!$J$3,'L - All'!$J$6,'L - All'!$J$9,'L - All'!$J$12,'L - All'!$J$15,'L - All'!$J$18,'L - All'!$J$21,'L - All'!$J$24,'L - All'!$J$27,'L - All'!$J$30)</c:f>
              <c:numCache>
                <c:formatCode>\$#,##0.00</c:formatCode>
                <c:ptCount val="10"/>
                <c:pt idx="0">
                  <c:v>6974.24</c:v>
                </c:pt>
                <c:pt idx="1">
                  <c:v>140194.22</c:v>
                </c:pt>
                <c:pt idx="2">
                  <c:v>592.55999999999995</c:v>
                </c:pt>
                <c:pt idx="3">
                  <c:v>91385.13</c:v>
                </c:pt>
                <c:pt idx="4">
                  <c:v>26138.560000000001</c:v>
                </c:pt>
                <c:pt idx="5">
                  <c:v>54796.89</c:v>
                </c:pt>
                <c:pt idx="6">
                  <c:v>77493.05</c:v>
                </c:pt>
                <c:pt idx="7">
                  <c:v>37688.43</c:v>
                </c:pt>
                <c:pt idx="8">
                  <c:v>1777.93</c:v>
                </c:pt>
                <c:pt idx="9">
                  <c:v>40.799999999999997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98-407A-B027-896D57D742E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All'!$Q$3,'L - All'!$Q$6,'L - All'!$Q$9,'L - All'!$Q$12,'L - All'!$Q$15,'L - All'!$Q$18,'L - All'!$Q$21,'L - All'!$Q$24,'L - All'!$Q$27,'L - All'!$Q$30)</c:f>
              <c:numCache>
                <c:formatCode>\$#,##0.00</c:formatCode>
                <c:ptCount val="10"/>
                <c:pt idx="0">
                  <c:v>6287.06</c:v>
                </c:pt>
                <c:pt idx="1">
                  <c:v>99734.17</c:v>
                </c:pt>
                <c:pt idx="2">
                  <c:v>28176.05</c:v>
                </c:pt>
                <c:pt idx="3">
                  <c:v>58571.98</c:v>
                </c:pt>
                <c:pt idx="4">
                  <c:v>36796.959999999999</c:v>
                </c:pt>
                <c:pt idx="5">
                  <c:v>92464.4</c:v>
                </c:pt>
                <c:pt idx="6">
                  <c:v>78190.38</c:v>
                </c:pt>
                <c:pt idx="7">
                  <c:v>76366.19</c:v>
                </c:pt>
                <c:pt idx="8">
                  <c:v>1987.14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98-407A-B027-896D57D74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All'!$D$4,'L - All'!$D$7,'L - All'!$D$10,'L - All'!$D$13,'L - All'!$D$16,'L - All'!$D$19,'L - All'!$D$22,'L - All'!$D$25,'L - All'!$D$28,'L - All'!$D$31)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183.66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7-4864-85DF-E12660AA4FA9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All'!$J$4,'L - All'!$J$7,'L - All'!$J$10,'L - All'!$J$13,'L - All'!$J$16,'L - All'!$J$19,'L - All'!$J$22,'L - All'!$J$25,'L - All'!$J$28,'L - All'!$J$31)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183.66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C7-4864-85DF-E12660AA4FA9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All'!$Q$4,'L - All'!$Q$7,'L - All'!$Q$10,'L - All'!$Q$13,'L - All'!$Q$16,'L - All'!$Q$19,'L - All'!$Q$22,'L - All'!$Q$25,'L - All'!$Q$28,'L - All'!$Q$31)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C7-4864-85DF-E12660AA4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All'!$G$2,'L - All'!$G$5,'L - All'!$G$8,'L - All'!$G$11,'L - All'!$G$14,'L - All'!$G$17,'L - All'!$G$20,'L - All'!$G$23,'L - All'!$G$26,'L - All'!$G$29)</c:f>
              <c:numCache>
                <c:formatCode>\$#,##0.00</c:formatCode>
                <c:ptCount val="10"/>
                <c:pt idx="0">
                  <c:v>2480.27</c:v>
                </c:pt>
                <c:pt idx="1">
                  <c:v>56153.48</c:v>
                </c:pt>
                <c:pt idx="2">
                  <c:v>14732.29</c:v>
                </c:pt>
                <c:pt idx="3">
                  <c:v>70761.89</c:v>
                </c:pt>
                <c:pt idx="4">
                  <c:v>10916.25</c:v>
                </c:pt>
                <c:pt idx="5">
                  <c:v>5415.72</c:v>
                </c:pt>
                <c:pt idx="6">
                  <c:v>48157.96</c:v>
                </c:pt>
                <c:pt idx="7">
                  <c:v>17220.8</c:v>
                </c:pt>
                <c:pt idx="8">
                  <c:v>371.2</c:v>
                </c:pt>
                <c:pt idx="9">
                  <c:v>21.09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58-4232-AE80-B4DEDCA0E03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All'!$M$2,'L - All'!$M$5,'L - All'!$M$8,'L - All'!$M$11,'L - All'!$M$14,'L - All'!$M$17,'L - All'!$M$20,'L - All'!$M$23,'L - All'!$M$26,'L - All'!$M$29)</c:f>
              <c:numCache>
                <c:formatCode>\$#,##0.00</c:formatCode>
                <c:ptCount val="10"/>
                <c:pt idx="0">
                  <c:v>2939.48</c:v>
                </c:pt>
                <c:pt idx="1">
                  <c:v>38427.86</c:v>
                </c:pt>
                <c:pt idx="2">
                  <c:v>13743.7</c:v>
                </c:pt>
                <c:pt idx="3">
                  <c:v>46880.17</c:v>
                </c:pt>
                <c:pt idx="4">
                  <c:v>15216.5</c:v>
                </c:pt>
                <c:pt idx="5">
                  <c:v>5872.47</c:v>
                </c:pt>
                <c:pt idx="6">
                  <c:v>29101.759999999998</c:v>
                </c:pt>
                <c:pt idx="7">
                  <c:v>6887.64</c:v>
                </c:pt>
                <c:pt idx="8">
                  <c:v>0</c:v>
                </c:pt>
                <c:pt idx="9">
                  <c:v>21.12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58-4232-AE80-B4DEDCA0E03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All'!$T$2,'L - All'!$T$5,'L - All'!$T$8,'L - All'!$T$11,'L - All'!$T$14,'L - All'!$T$17,'L - All'!$T$20,'L - All'!$T$23,'L - All'!$T$26,'L - All'!$T$29)</c:f>
              <c:numCache>
                <c:formatCode>\$#,##0.00</c:formatCode>
                <c:ptCount val="10"/>
                <c:pt idx="0">
                  <c:v>2126.12</c:v>
                </c:pt>
                <c:pt idx="1">
                  <c:v>57819.83</c:v>
                </c:pt>
                <c:pt idx="2">
                  <c:v>9033.9</c:v>
                </c:pt>
                <c:pt idx="3">
                  <c:v>49066.27</c:v>
                </c:pt>
                <c:pt idx="4">
                  <c:v>7302.5</c:v>
                </c:pt>
                <c:pt idx="5">
                  <c:v>5810.99</c:v>
                </c:pt>
                <c:pt idx="6">
                  <c:v>46020.959999999999</c:v>
                </c:pt>
                <c:pt idx="7">
                  <c:v>4150.8</c:v>
                </c:pt>
                <c:pt idx="8">
                  <c:v>0</c:v>
                </c:pt>
                <c:pt idx="9">
                  <c:v>127.63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58-4232-AE80-B4DEDCA0E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All'!$G$3,'L - All'!$G$6,'L - All'!$G$9,'L - All'!$G$12,'L - All'!$G$15,'L - All'!$G$18,'L - All'!$G$21,'L - All'!$G$24,'L - All'!$G$27,'L - All'!$G$30)</c:f>
              <c:numCache>
                <c:formatCode>\$#,##0.00</c:formatCode>
                <c:ptCount val="10"/>
                <c:pt idx="0">
                  <c:v>44.85</c:v>
                </c:pt>
                <c:pt idx="1">
                  <c:v>35598.61</c:v>
                </c:pt>
                <c:pt idx="2">
                  <c:v>2086.02</c:v>
                </c:pt>
                <c:pt idx="3">
                  <c:v>35887.49</c:v>
                </c:pt>
                <c:pt idx="4">
                  <c:v>24974.6</c:v>
                </c:pt>
                <c:pt idx="5">
                  <c:v>10874.03</c:v>
                </c:pt>
                <c:pt idx="6">
                  <c:v>48427.05</c:v>
                </c:pt>
                <c:pt idx="7">
                  <c:v>97749.5</c:v>
                </c:pt>
                <c:pt idx="8">
                  <c:v>1969</c:v>
                </c:pt>
                <c:pt idx="9">
                  <c:v>2939.39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2C-40FD-A726-2BE3DAD19C3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All'!$M$3,'L - All'!$M$6,'L - All'!$M$9,'L - All'!$M$12,'L - All'!$M$15,'L - All'!$M$18,'L - All'!$M$21,'L - All'!$M$24,'L - All'!$M$27,'L - All'!$M$30)</c:f>
              <c:numCache>
                <c:formatCode>\$#,##0.00</c:formatCode>
                <c:ptCount val="10"/>
                <c:pt idx="0">
                  <c:v>1900.51</c:v>
                </c:pt>
                <c:pt idx="1">
                  <c:v>43680.78</c:v>
                </c:pt>
                <c:pt idx="2">
                  <c:v>5178.4399999999996</c:v>
                </c:pt>
                <c:pt idx="3">
                  <c:v>32714.69</c:v>
                </c:pt>
                <c:pt idx="4">
                  <c:v>19019.62</c:v>
                </c:pt>
                <c:pt idx="5">
                  <c:v>2301.06</c:v>
                </c:pt>
                <c:pt idx="6">
                  <c:v>25064.12</c:v>
                </c:pt>
                <c:pt idx="7">
                  <c:v>100629.87</c:v>
                </c:pt>
                <c:pt idx="8">
                  <c:v>0</c:v>
                </c:pt>
                <c:pt idx="9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C-40FD-A726-2BE3DAD19C3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All'!$T$3,'L - All'!$T$6,'L - All'!$T$9,'L - All'!$T$12,'L - All'!$T$15,'L - All'!$T$18,'L - All'!$T$21,'L - All'!$T$24,'L - All'!$T$27,'L - All'!$T$30)</c:f>
              <c:numCache>
                <c:formatCode>\$#,##0.00</c:formatCode>
                <c:ptCount val="10"/>
                <c:pt idx="0">
                  <c:v>925.61</c:v>
                </c:pt>
                <c:pt idx="1">
                  <c:v>44777.63</c:v>
                </c:pt>
                <c:pt idx="2">
                  <c:v>46916.160000000003</c:v>
                </c:pt>
                <c:pt idx="3">
                  <c:v>55276.27</c:v>
                </c:pt>
                <c:pt idx="4">
                  <c:v>19774.68</c:v>
                </c:pt>
                <c:pt idx="5">
                  <c:v>6446.1</c:v>
                </c:pt>
                <c:pt idx="6">
                  <c:v>44616.639999999999</c:v>
                </c:pt>
                <c:pt idx="7">
                  <c:v>203781.97</c:v>
                </c:pt>
                <c:pt idx="8">
                  <c:v>556.5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2C-40FD-A726-2BE3DAD19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All'!$G$4,'L - All'!$G$7,'L - All'!$G$10,'L - All'!$G$13,'L - All'!$G$16,'L - All'!$G$19,'L - All'!$G$22,'L - All'!$G$25,'L - All'!$G$28,'L - All'!$G$31)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78-4E6E-AE0E-B7DE47949578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All'!$M$4,'L - All'!$M$7,'L - All'!$M$10,'L - All'!$M$13,'L - All'!$M$16,'L - All'!$M$19,'L - All'!$M$22,'L - All'!$M$25,'L - All'!$M$28,'L - All'!$M$31)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78-4E6E-AE0E-B7DE47949578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All'!$T$4,'L - All'!$T$7,'L - All'!$T$10,'L - All'!$T$13,'L - All'!$T$16,'L - All'!$T$19,'L - All'!$T$22,'L - All'!$T$25,'L - All'!$T$28,'L - All'!$T$31)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78-4E6E-AE0E-B7DE47949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All'!$I$2,'L - All'!$I$5,'L - All'!$I$8,'L - All'!$I$11,'L - All'!$I$14,'L - All'!$I$17,'L - All'!$I$20,'L - All'!$I$23,'L - All'!$I$26,'L - All'!$I$29)</c:f>
              <c:numCache>
                <c:formatCode>0.0%</c:formatCode>
                <c:ptCount val="10"/>
                <c:pt idx="0">
                  <c:v>0.55300000000000005</c:v>
                </c:pt>
                <c:pt idx="1">
                  <c:v>0.311</c:v>
                </c:pt>
                <c:pt idx="2">
                  <c:v>0.46200000000000002</c:v>
                </c:pt>
                <c:pt idx="3">
                  <c:v>0.35699999999999998</c:v>
                </c:pt>
                <c:pt idx="4">
                  <c:v>0.39600000000000002</c:v>
                </c:pt>
                <c:pt idx="5">
                  <c:v>0.44600000000000001</c:v>
                </c:pt>
                <c:pt idx="6">
                  <c:v>0.32600000000000001</c:v>
                </c:pt>
                <c:pt idx="7">
                  <c:v>0.23100000000000001</c:v>
                </c:pt>
                <c:pt idx="8">
                  <c:v>0.46200000000000002</c:v>
                </c:pt>
                <c:pt idx="9">
                  <c:v>0.23799999999999999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F3-4231-B48D-1F15B216320D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All'!$O$2,'L - All'!$O$5,'L - All'!$O$8,'L - All'!$O$11,'L - All'!$O$14,'L - All'!$O$17,'L - All'!$O$20,'L - All'!$O$23,'L - All'!$O$26,'L - All'!$O$29)</c:f>
              <c:numCache>
                <c:formatCode>0.0%</c:formatCode>
                <c:ptCount val="10"/>
                <c:pt idx="0">
                  <c:v>0.60099999999999998</c:v>
                </c:pt>
                <c:pt idx="1">
                  <c:v>0.30299999999999999</c:v>
                </c:pt>
                <c:pt idx="2">
                  <c:v>0.44400000000000001</c:v>
                </c:pt>
                <c:pt idx="3">
                  <c:v>0.33500000000000002</c:v>
                </c:pt>
                <c:pt idx="4">
                  <c:v>0.39500000000000002</c:v>
                </c:pt>
                <c:pt idx="5">
                  <c:v>0.437</c:v>
                </c:pt>
                <c:pt idx="6">
                  <c:v>0.36199999999999999</c:v>
                </c:pt>
                <c:pt idx="7">
                  <c:v>0.26400000000000001</c:v>
                </c:pt>
                <c:pt idx="8">
                  <c:v>0</c:v>
                </c:pt>
                <c:pt idx="9">
                  <c:v>0.33300000000000002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F3-4231-B48D-1F15B216320D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All'!$V$2,'L - All'!$V$5,'L - All'!$V$8,'L - All'!$V$11,'L - All'!$V$14,'L - All'!$V$17,'L - All'!$V$20,'L - All'!$V$23,'L - All'!$V$26,'L - All'!$V$29)</c:f>
              <c:numCache>
                <c:formatCode>0.0%</c:formatCode>
                <c:ptCount val="10"/>
                <c:pt idx="0">
                  <c:v>0.41799999999999998</c:v>
                </c:pt>
                <c:pt idx="1">
                  <c:v>0.24099999999999999</c:v>
                </c:pt>
                <c:pt idx="2">
                  <c:v>0.41299999999999998</c:v>
                </c:pt>
                <c:pt idx="3">
                  <c:v>0.28299999999999997</c:v>
                </c:pt>
                <c:pt idx="4">
                  <c:v>0.32100000000000001</c:v>
                </c:pt>
                <c:pt idx="5">
                  <c:v>0.50800000000000001</c:v>
                </c:pt>
                <c:pt idx="6">
                  <c:v>0.34300000000000003</c:v>
                </c:pt>
                <c:pt idx="7">
                  <c:v>0.22900000000000001</c:v>
                </c:pt>
                <c:pt idx="8">
                  <c:v>0</c:v>
                </c:pt>
                <c:pt idx="9">
                  <c:v>0.32900000000000001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F3-4231-B48D-1F15B2163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All'!$I$3,'L - All'!$I$6,'L - All'!$I$9,'L - All'!$I$12,'L - All'!$I$15,'L - All'!$I$18,'L - All'!$I$21,'L - All'!$I$24,'L - All'!$I$27,'L - All'!$I$30)</c:f>
              <c:numCache>
                <c:formatCode>0.0%</c:formatCode>
                <c:ptCount val="10"/>
                <c:pt idx="0">
                  <c:v>0.61699999999999999</c:v>
                </c:pt>
                <c:pt idx="1">
                  <c:v>0.26</c:v>
                </c:pt>
                <c:pt idx="2">
                  <c:v>0.4</c:v>
                </c:pt>
                <c:pt idx="3">
                  <c:v>0.28100000000000003</c:v>
                </c:pt>
                <c:pt idx="4">
                  <c:v>0.432</c:v>
                </c:pt>
                <c:pt idx="5">
                  <c:v>0.34799999999999998</c:v>
                </c:pt>
                <c:pt idx="6">
                  <c:v>0.28899999999999998</c:v>
                </c:pt>
                <c:pt idx="7">
                  <c:v>0.218</c:v>
                </c:pt>
                <c:pt idx="8">
                  <c:v>0.42899999999999999</c:v>
                </c:pt>
                <c:pt idx="9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5-4EDD-8A4D-D4AD5F430B4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All'!$O$3,'L - All'!$O$6,'L - All'!$O$9,'L - All'!$O$12,'L - All'!$O$15,'L - All'!$O$18,'L - All'!$O$21,'L - All'!$O$24,'L - All'!$O$27,'L - All'!$O$30)</c:f>
              <c:numCache>
                <c:formatCode>0.0%</c:formatCode>
                <c:ptCount val="10"/>
                <c:pt idx="0">
                  <c:v>0.59799999999999998</c:v>
                </c:pt>
                <c:pt idx="1">
                  <c:v>0.23100000000000001</c:v>
                </c:pt>
                <c:pt idx="2">
                  <c:v>0.30499999999999999</c:v>
                </c:pt>
                <c:pt idx="3">
                  <c:v>0.23599999999999999</c:v>
                </c:pt>
                <c:pt idx="4">
                  <c:v>0.36799999999999999</c:v>
                </c:pt>
                <c:pt idx="5">
                  <c:v>0.44800000000000001</c:v>
                </c:pt>
                <c:pt idx="6">
                  <c:v>0.29299999999999998</c:v>
                </c:pt>
                <c:pt idx="7">
                  <c:v>0.21299999999999999</c:v>
                </c:pt>
                <c:pt idx="8">
                  <c:v>0</c:v>
                </c:pt>
                <c:pt idx="9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D5-4EDD-8A4D-D4AD5F430B4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All'!$V$3,'L - All'!$V$6,'L - All'!$V$9,'L - All'!$V$12,'L - All'!$V$15,'L - All'!$V$18,'L - All'!$V$21,'L - All'!$V$24,'L - All'!$V$27,'L - All'!$V$30)</c:f>
              <c:numCache>
                <c:formatCode>0.0%</c:formatCode>
                <c:ptCount val="10"/>
                <c:pt idx="0">
                  <c:v>0.54600000000000004</c:v>
                </c:pt>
                <c:pt idx="1">
                  <c:v>0.219</c:v>
                </c:pt>
                <c:pt idx="2">
                  <c:v>0.23200000000000001</c:v>
                </c:pt>
                <c:pt idx="3">
                  <c:v>0.23699999999999999</c:v>
                </c:pt>
                <c:pt idx="4">
                  <c:v>0.312</c:v>
                </c:pt>
                <c:pt idx="5">
                  <c:v>0.435</c:v>
                </c:pt>
                <c:pt idx="6">
                  <c:v>0.307</c:v>
                </c:pt>
                <c:pt idx="7">
                  <c:v>0.16700000000000001</c:v>
                </c:pt>
                <c:pt idx="8">
                  <c:v>0.37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D5-4EDD-8A4D-D4AD5F430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Current Inv Total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v>Inv Value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FCA-4771-9F82-75CAF907FE4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FCA-4771-9F82-75CAF907FE4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FCA-4771-9F82-75CAF907FE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FCA-4771-9F82-75CAF907FE4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FCA-4771-9F82-75CAF907FE4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FCA-4771-9F82-75CAF907FE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('January 2026 - Dashboard'!$A$3,'January 2026 - Dashboard'!$A$6,'January 2026 - Dashboard'!$A$9,'January 2026 - Dashboard'!$A$12,'January 2026 - Dashboard'!$A$15,'January 2026 - Dashboard'!$A$18)</c:f>
              <c:strCache>
                <c:ptCount val="6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</c:strCache>
            </c:strRef>
          </c:cat>
          <c:val>
            <c:numRef>
              <c:f>('January 2026 - Dashboard'!$C$3,'January 2026 - Dashboard'!$C$6,'January 2026 - Dashboard'!$C$9,'January 2026 - Dashboard'!$C$12,'January 2026 - Dashboard'!$C$15,'January 2026 - Dashboard'!$C$18)</c:f>
              <c:numCache>
                <c:formatCode>"$"#,##0.00</c:formatCode>
                <c:ptCount val="6"/>
                <c:pt idx="0">
                  <c:v>460294.22</c:v>
                </c:pt>
                <c:pt idx="1">
                  <c:v>607745.96</c:v>
                </c:pt>
                <c:pt idx="2">
                  <c:v>262229.07</c:v>
                </c:pt>
                <c:pt idx="3">
                  <c:v>769599.07000000007</c:v>
                </c:pt>
                <c:pt idx="4">
                  <c:v>361461.81</c:v>
                </c:pt>
                <c:pt idx="5">
                  <c:v>175891.30000000002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3A88-4203-B420-80466EA18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01879423826835"/>
          <c:y val="0.10431783891202949"/>
          <c:w val="0.20585838214364893"/>
          <c:h val="0.3144854501882916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GP%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All'!$I$4,'L - All'!$I$7,'L - All'!$I$10,'L - All'!$I$13,'L - All'!$I$16,'L - All'!$I$19,'L - All'!$I$22,'L - All'!$I$25,'L - All'!$I$28,'L - All'!$I$31)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D-431D-A694-2282BD555296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All'!$O$4,'L - All'!$O$7,'L - All'!$O$10,'L - All'!$O$13,'L - All'!$O$16,'L - All'!$O$19,'L - All'!$O$22,'L - All'!$O$25,'L - All'!$O$28,'L - All'!$O$31)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FD-431D-A694-2282BD555296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All'!$V$4,'L - All'!$V$7,'L - All'!$V$10,'L - All'!$V$13,'L - All'!$V$16,'L - All'!$V$19,'L - All'!$V$22,'L - All'!$V$25,'L - All'!$V$28,'L - All'!$V$31)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FD-431D-A694-2282BD555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All'!$H$2,'L - All'!$H$5,'L - All'!$H$8,'L - All'!$H$11,'L - All'!$H$14,'L - All'!$H$17,'L - All'!$H$20,'L - All'!$H$23,'L - All'!$H$26,'L - All'!$H$29)</c:f>
              <c:numCache>
                <c:formatCode>\$#,##0.00</c:formatCode>
                <c:ptCount val="10"/>
                <c:pt idx="0">
                  <c:v>1372.8</c:v>
                </c:pt>
                <c:pt idx="1">
                  <c:v>17480.79</c:v>
                </c:pt>
                <c:pt idx="2">
                  <c:v>6813.03</c:v>
                </c:pt>
                <c:pt idx="3">
                  <c:v>25233.97</c:v>
                </c:pt>
                <c:pt idx="4">
                  <c:v>4327.21</c:v>
                </c:pt>
                <c:pt idx="5">
                  <c:v>2414.1799999999998</c:v>
                </c:pt>
                <c:pt idx="6">
                  <c:v>15680.86</c:v>
                </c:pt>
                <c:pt idx="7">
                  <c:v>3979.7</c:v>
                </c:pt>
                <c:pt idx="8">
                  <c:v>171.39</c:v>
                </c:pt>
                <c:pt idx="9">
                  <c:v>5.0199999999999996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2-4675-AA0F-CF3406B2876B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All'!$N$2,'L - All'!$N$5,'L - All'!$N$8,'L - All'!$N$11,'L - All'!$N$14,'L - All'!$N$17,'L - All'!$N$20,'L - All'!$N$23,'L - All'!$N$26,'L - All'!$N$29)</c:f>
              <c:numCache>
                <c:formatCode>\$#,##0.00</c:formatCode>
                <c:ptCount val="10"/>
                <c:pt idx="0">
                  <c:v>1765.49</c:v>
                </c:pt>
                <c:pt idx="1">
                  <c:v>11632.45</c:v>
                </c:pt>
                <c:pt idx="2">
                  <c:v>6100.67</c:v>
                </c:pt>
                <c:pt idx="3">
                  <c:v>15701.25</c:v>
                </c:pt>
                <c:pt idx="4">
                  <c:v>6009.58</c:v>
                </c:pt>
                <c:pt idx="5">
                  <c:v>2564.85</c:v>
                </c:pt>
                <c:pt idx="6">
                  <c:v>10539.36</c:v>
                </c:pt>
                <c:pt idx="7">
                  <c:v>1817.66</c:v>
                </c:pt>
                <c:pt idx="8">
                  <c:v>0</c:v>
                </c:pt>
                <c:pt idx="9">
                  <c:v>7.04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2-4675-AA0F-CF3406B2876B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All'!$U$2,'L - All'!$U$5,'L - All'!$U$8,'L - All'!$U$11,'L - All'!$U$14,'L - All'!$U$17,'L - All'!$U$20,'L - All'!$U$23,'L - All'!$U$26,'L - All'!$U$29)</c:f>
              <c:numCache>
                <c:formatCode>\$#,##0.00</c:formatCode>
                <c:ptCount val="10"/>
                <c:pt idx="0">
                  <c:v>889.11</c:v>
                </c:pt>
                <c:pt idx="1">
                  <c:v>13949.6</c:v>
                </c:pt>
                <c:pt idx="2">
                  <c:v>3729.3</c:v>
                </c:pt>
                <c:pt idx="3">
                  <c:v>13902.99</c:v>
                </c:pt>
                <c:pt idx="4">
                  <c:v>2341.67</c:v>
                </c:pt>
                <c:pt idx="5">
                  <c:v>2951.32</c:v>
                </c:pt>
                <c:pt idx="6">
                  <c:v>15786.73</c:v>
                </c:pt>
                <c:pt idx="7">
                  <c:v>952.46</c:v>
                </c:pt>
                <c:pt idx="8">
                  <c:v>0</c:v>
                </c:pt>
                <c:pt idx="9">
                  <c:v>41.94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E2-4675-AA0F-CF3406B28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</a:t>
            </a:r>
            <a:r>
              <a:rPr lang="en-US" baseline="0"/>
              <a:t> </a:t>
            </a:r>
            <a:r>
              <a:rPr lang="en-US"/>
              <a:t>GP$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All'!$H$3,'L - All'!$H$6,'L - All'!$H$9,'L - All'!$H$12,'L - All'!$H$15,'L - All'!$H$18,'L - All'!$H$21,'L - All'!$H$24,'L - All'!$H$27,'L - All'!$H$30)</c:f>
              <c:numCache>
                <c:formatCode>\$#,##0.00</c:formatCode>
                <c:ptCount val="10"/>
                <c:pt idx="0">
                  <c:v>27.67</c:v>
                </c:pt>
                <c:pt idx="1">
                  <c:v>9240</c:v>
                </c:pt>
                <c:pt idx="2">
                  <c:v>834.3</c:v>
                </c:pt>
                <c:pt idx="3">
                  <c:v>10075.19</c:v>
                </c:pt>
                <c:pt idx="4">
                  <c:v>10798.68</c:v>
                </c:pt>
                <c:pt idx="5">
                  <c:v>3788.82</c:v>
                </c:pt>
                <c:pt idx="6">
                  <c:v>13971.49</c:v>
                </c:pt>
                <c:pt idx="7">
                  <c:v>21271.919999999998</c:v>
                </c:pt>
                <c:pt idx="8">
                  <c:v>845.57</c:v>
                </c:pt>
                <c:pt idx="9">
                  <c:v>241.15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A-4586-88F4-5B3A484BA479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All'!$N$3,'L - All'!$N$6,'L - All'!$N$9,'L - All'!$N$12,'L - All'!$N$15,'L - All'!$N$18,'L - All'!$N$21,'L - All'!$N$24,'L - All'!$N$27,'L - All'!$N$30)</c:f>
              <c:numCache>
                <c:formatCode>\$#,##0.00</c:formatCode>
                <c:ptCount val="10"/>
                <c:pt idx="0">
                  <c:v>1137.28</c:v>
                </c:pt>
                <c:pt idx="1">
                  <c:v>10070.549999999999</c:v>
                </c:pt>
                <c:pt idx="2">
                  <c:v>1581.92</c:v>
                </c:pt>
                <c:pt idx="3">
                  <c:v>7729.44</c:v>
                </c:pt>
                <c:pt idx="4">
                  <c:v>7006.18</c:v>
                </c:pt>
                <c:pt idx="5">
                  <c:v>1029.78</c:v>
                </c:pt>
                <c:pt idx="6">
                  <c:v>7339.54</c:v>
                </c:pt>
                <c:pt idx="7">
                  <c:v>21477.23</c:v>
                </c:pt>
                <c:pt idx="8">
                  <c:v>0</c:v>
                </c:pt>
                <c:pt idx="9">
                  <c:v>10.56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6A-4586-88F4-5B3A484BA479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All'!$U$3,'L - All'!$U$6,'L - All'!$U$9,'L - All'!$U$12,'L - All'!$U$15,'L - All'!$U$18,'L - All'!$U$21,'L - All'!$U$24,'L - All'!$U$27,'L - All'!$U$30)</c:f>
              <c:numCache>
                <c:formatCode>\$#,##0.00</c:formatCode>
                <c:ptCount val="10"/>
                <c:pt idx="0">
                  <c:v>505.56</c:v>
                </c:pt>
                <c:pt idx="1">
                  <c:v>9804.7800000000007</c:v>
                </c:pt>
                <c:pt idx="2">
                  <c:v>10882.11</c:v>
                </c:pt>
                <c:pt idx="3">
                  <c:v>13088.15</c:v>
                </c:pt>
                <c:pt idx="4">
                  <c:v>6165.01</c:v>
                </c:pt>
                <c:pt idx="5">
                  <c:v>2807.11</c:v>
                </c:pt>
                <c:pt idx="6">
                  <c:v>13718.64</c:v>
                </c:pt>
                <c:pt idx="7">
                  <c:v>34125.599999999999</c:v>
                </c:pt>
                <c:pt idx="8">
                  <c:v>205.85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6A-4586-88F4-5B3A484BA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</a:t>
            </a:r>
            <a:r>
              <a:rPr lang="en-US" baseline="0"/>
              <a:t> </a:t>
            </a:r>
            <a:r>
              <a:rPr lang="en-US"/>
              <a:t>GP$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All'!$H$4,'L - All'!$H$7,'L - All'!$H$10,'L - All'!$H$13,'L - All'!$H$16,'L - All'!$H$19,'L - All'!$H$22,'L - All'!$H$25,'L - All'!$H$28,'L - All'!$H$31)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37-43EC-80CE-A3BC06196C16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All'!$N$4,'L - All'!$N$7,'L - All'!$N$10,'L - All'!$N$13,'L - All'!$N$16,'L - All'!$N$19,'L - All'!$N$22,'L - All'!$N$25,'L - All'!$N$28,'L - All'!$N$31)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37-43EC-80CE-A3BC06196C16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All'!$U$4,'L - All'!$U$7,'L - All'!$U$10,'L - All'!$U$13,'L - All'!$U$16,'L - All'!$U$19,'L - All'!$U$22,'L - All'!$U$25,'L - All'!$U$28,'L - All'!$U$31)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37-43EC-80CE-A3BC06196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All'!$D$2,'M - All'!$D$5,'M - All'!$D$8,'M - All'!$D$11,'M - All'!$D$14,'M - All'!$D$17,'M - All'!$D$20,'M - All'!$D$23,'M - All'!$D$26)</c:f>
              <c:numCache>
                <c:formatCode>\$#,##0.00</c:formatCode>
                <c:ptCount val="9"/>
                <c:pt idx="0">
                  <c:v>1946.62</c:v>
                </c:pt>
                <c:pt idx="1">
                  <c:v>19846.939999999999</c:v>
                </c:pt>
                <c:pt idx="2">
                  <c:v>94</c:v>
                </c:pt>
                <c:pt idx="3">
                  <c:v>994.32</c:v>
                </c:pt>
                <c:pt idx="4">
                  <c:v>5765.73</c:v>
                </c:pt>
                <c:pt idx="5">
                  <c:v>1062.28</c:v>
                </c:pt>
                <c:pt idx="6">
                  <c:v>2808.13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F-41DB-ABD1-01D2D7E252A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All'!$J$2,'M - All'!$J$5,'M - All'!$J$8,'M - All'!$J$11,'M - All'!$J$14,'M - All'!$J$17,'M - All'!$J$20,'M - All'!$J$23,'M - All'!$J$26)</c:f>
              <c:numCache>
                <c:formatCode>\$#,##0.00</c:formatCode>
                <c:ptCount val="9"/>
                <c:pt idx="0">
                  <c:v>1555.25</c:v>
                </c:pt>
                <c:pt idx="1">
                  <c:v>19535.759999999998</c:v>
                </c:pt>
                <c:pt idx="2">
                  <c:v>163</c:v>
                </c:pt>
                <c:pt idx="3">
                  <c:v>899.97</c:v>
                </c:pt>
                <c:pt idx="4">
                  <c:v>5125.74</c:v>
                </c:pt>
                <c:pt idx="5">
                  <c:v>528.52</c:v>
                </c:pt>
                <c:pt idx="6">
                  <c:v>0</c:v>
                </c:pt>
                <c:pt idx="7">
                  <c:v>16.8</c:v>
                </c:pt>
                <c:pt idx="8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0F-41DB-ABD1-01D2D7E252A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All'!$Q$2,'M - All'!$Q$5,'M - All'!$Q$8,'M - All'!$Q$11,'M - All'!$Q$14,'M - All'!$Q$17,'M - All'!$Q$20,'M - All'!$Q$23,'M - All'!$Q$26)</c:f>
              <c:numCache>
                <c:formatCode>\$#,##0.00</c:formatCode>
                <c:ptCount val="9"/>
                <c:pt idx="0">
                  <c:v>1227.56</c:v>
                </c:pt>
                <c:pt idx="1">
                  <c:v>17320.41</c:v>
                </c:pt>
                <c:pt idx="2">
                  <c:v>185</c:v>
                </c:pt>
                <c:pt idx="3">
                  <c:v>769.79</c:v>
                </c:pt>
                <c:pt idx="4">
                  <c:v>7037.2</c:v>
                </c:pt>
                <c:pt idx="5">
                  <c:v>18.399999999999999</c:v>
                </c:pt>
                <c:pt idx="6">
                  <c:v>126.49</c:v>
                </c:pt>
                <c:pt idx="7">
                  <c:v>240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0F-41DB-ABD1-01D2D7E25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All'!$D$3,'M - All'!$D$6,'M - All'!$D$9,'M - All'!$D$12,'M - All'!$D$15,'M - All'!$D$18,'M - All'!$D$21,'M - All'!$D$24,'M - All'!$D$27)</c:f>
              <c:numCache>
                <c:formatCode>\$#,##0.00</c:formatCode>
                <c:ptCount val="9"/>
                <c:pt idx="0">
                  <c:v>4604.71</c:v>
                </c:pt>
                <c:pt idx="1">
                  <c:v>49515.18</c:v>
                </c:pt>
                <c:pt idx="2">
                  <c:v>313.01</c:v>
                </c:pt>
                <c:pt idx="3">
                  <c:v>1346.58</c:v>
                </c:pt>
                <c:pt idx="4">
                  <c:v>14663.25</c:v>
                </c:pt>
                <c:pt idx="5">
                  <c:v>120169.26</c:v>
                </c:pt>
                <c:pt idx="6">
                  <c:v>25788.81</c:v>
                </c:pt>
                <c:pt idx="7">
                  <c:v>4600.1099999999997</c:v>
                </c:pt>
                <c:pt idx="8">
                  <c:v>8710.14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02-4383-AC4C-F0F2885965C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All'!$J$3,'M - All'!$J$6,'M - All'!$J$9,'M - All'!$J$12,'M - All'!$J$15,'M - All'!$J$18,'M - All'!$J$21,'M - All'!$J$24,'M - All'!$J$27)</c:f>
              <c:numCache>
                <c:formatCode>\$#,##0.00</c:formatCode>
                <c:ptCount val="9"/>
                <c:pt idx="0">
                  <c:v>8120.39</c:v>
                </c:pt>
                <c:pt idx="1">
                  <c:v>54207.48</c:v>
                </c:pt>
                <c:pt idx="2">
                  <c:v>521.80999999999995</c:v>
                </c:pt>
                <c:pt idx="3">
                  <c:v>783.21</c:v>
                </c:pt>
                <c:pt idx="4">
                  <c:v>13475.43</c:v>
                </c:pt>
                <c:pt idx="5">
                  <c:v>49528.11</c:v>
                </c:pt>
                <c:pt idx="6">
                  <c:v>20664.080000000002</c:v>
                </c:pt>
                <c:pt idx="7">
                  <c:v>10555.55</c:v>
                </c:pt>
                <c:pt idx="8">
                  <c:v>8578.27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02-4383-AC4C-F0F2885965C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All'!$Q$3,'M - All'!$Q$6,'M - All'!$Q$9,'M - All'!$Q$12,'M - All'!$Q$15,'M - All'!$Q$18,'M - All'!$Q$21,'M - All'!$Q$24,'M - All'!$Q$27)</c:f>
              <c:numCache>
                <c:formatCode>\$#,##0.00</c:formatCode>
                <c:ptCount val="9"/>
                <c:pt idx="0">
                  <c:v>6824.88</c:v>
                </c:pt>
                <c:pt idx="1">
                  <c:v>55148.12</c:v>
                </c:pt>
                <c:pt idx="2">
                  <c:v>669.91</c:v>
                </c:pt>
                <c:pt idx="3">
                  <c:v>1236.47</c:v>
                </c:pt>
                <c:pt idx="4">
                  <c:v>18004.900000000001</c:v>
                </c:pt>
                <c:pt idx="5">
                  <c:v>51944.99</c:v>
                </c:pt>
                <c:pt idx="6">
                  <c:v>13774.67</c:v>
                </c:pt>
                <c:pt idx="7">
                  <c:v>4232.24</c:v>
                </c:pt>
                <c:pt idx="8">
                  <c:v>3751.48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02-4383-AC4C-F0F288596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All'!$D$4,'M - All'!$D$7,'M - All'!$D$10,'M - All'!$D$13,'M - All'!$D$16,'M - All'!$D$19,'M - All'!$D$22,'M - All'!$D$25,'M - All'!$D$28)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DE-452B-A73E-22C0AE4C060F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All'!$J$4,'M - All'!$J$7,'M - All'!$J$10,'M - All'!$J$13,'M - All'!$J$16,'M - All'!$J$19,'M - All'!$J$22,'M - All'!$J$25,'M - All'!$J$28)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DE-452B-A73E-22C0AE4C060F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All'!$Q$4,'M - All'!$Q$7,'M - All'!$Q$10,'M - All'!$Q$13,'M - All'!$Q$16,'M - All'!$Q$19,'M - All'!$Q$22,'M - All'!$Q$25,'M - All'!$Q$28)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DE-452B-A73E-22C0AE4C0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All'!$G$2,'M - All'!$G$5,'M - All'!$G$8,'M - All'!$G$11,'M - All'!$G$14,'M - All'!$G$17,'M - All'!$G$20,'M - All'!$G$23,'M - All'!$G$26)</c:f>
              <c:numCache>
                <c:formatCode>\$#,##0.00</c:formatCode>
                <c:ptCount val="9"/>
                <c:pt idx="0">
                  <c:v>772.92</c:v>
                </c:pt>
                <c:pt idx="1">
                  <c:v>1933.12</c:v>
                </c:pt>
                <c:pt idx="2">
                  <c:v>29.98</c:v>
                </c:pt>
                <c:pt idx="3">
                  <c:v>0</c:v>
                </c:pt>
                <c:pt idx="4">
                  <c:v>1621.04</c:v>
                </c:pt>
                <c:pt idx="5">
                  <c:v>2471.58</c:v>
                </c:pt>
                <c:pt idx="6">
                  <c:v>1026.3900000000001</c:v>
                </c:pt>
                <c:pt idx="7">
                  <c:v>220.48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5A3-B1FD-AE19912C8FEB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All'!$M$2,'M - All'!$M$5,'M - All'!$M$8,'M - All'!$M$11,'M - All'!$M$14,'M - All'!$M$17,'M - All'!$M$20,'M - All'!$M$23,'M - All'!$M$26)</c:f>
              <c:numCache>
                <c:formatCode>\$#,##0.00</c:formatCode>
                <c:ptCount val="9"/>
                <c:pt idx="0">
                  <c:v>357.96</c:v>
                </c:pt>
                <c:pt idx="1">
                  <c:v>3394.06</c:v>
                </c:pt>
                <c:pt idx="2">
                  <c:v>0</c:v>
                </c:pt>
                <c:pt idx="3">
                  <c:v>602.79999999999995</c:v>
                </c:pt>
                <c:pt idx="4">
                  <c:v>2934.65</c:v>
                </c:pt>
                <c:pt idx="5">
                  <c:v>1831.36</c:v>
                </c:pt>
                <c:pt idx="6">
                  <c:v>0</c:v>
                </c:pt>
                <c:pt idx="7">
                  <c:v>1828.26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25-45A3-B1FD-AE19912C8FEB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All'!$T$2,'M - All'!$T$5,'M - All'!$T$8,'M - All'!$T$11,'M - All'!$T$14,'M - All'!$T$17,'M - All'!$T$20,'M - All'!$T$23,'M - All'!$T$26)</c:f>
              <c:numCache>
                <c:formatCode>\$#,##0.00</c:formatCode>
                <c:ptCount val="9"/>
                <c:pt idx="0">
                  <c:v>211.54</c:v>
                </c:pt>
                <c:pt idx="1">
                  <c:v>2840.54</c:v>
                </c:pt>
                <c:pt idx="2">
                  <c:v>14.99</c:v>
                </c:pt>
                <c:pt idx="3">
                  <c:v>822</c:v>
                </c:pt>
                <c:pt idx="4">
                  <c:v>2006.17</c:v>
                </c:pt>
                <c:pt idx="5">
                  <c:v>1277.53</c:v>
                </c:pt>
                <c:pt idx="6">
                  <c:v>11.5</c:v>
                </c:pt>
                <c:pt idx="7">
                  <c:v>85.28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25-45A3-B1FD-AE19912C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All'!$G$3,'M - All'!$G$6,'M - All'!$G$9,'M - All'!$G$12,'M - All'!$G$15,'M - All'!$G$18,'M - All'!$G$21,'M - All'!$G$24,'M - All'!$G$27)</c:f>
              <c:numCache>
                <c:formatCode>\$#,##0.00</c:formatCode>
                <c:ptCount val="9"/>
                <c:pt idx="0">
                  <c:v>1689.69</c:v>
                </c:pt>
                <c:pt idx="1">
                  <c:v>-173.24</c:v>
                </c:pt>
                <c:pt idx="2">
                  <c:v>0</c:v>
                </c:pt>
                <c:pt idx="3">
                  <c:v>295.8</c:v>
                </c:pt>
                <c:pt idx="4">
                  <c:v>6904.78</c:v>
                </c:pt>
                <c:pt idx="5">
                  <c:v>73925.259999999995</c:v>
                </c:pt>
                <c:pt idx="6">
                  <c:v>31693.59</c:v>
                </c:pt>
                <c:pt idx="7">
                  <c:v>8965.92</c:v>
                </c:pt>
                <c:pt idx="8">
                  <c:v>3055.53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D0-4BF3-8C3B-A4DCC657164E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All'!$M$3,'M - All'!$M$6,'M - All'!$M$9,'M - All'!$M$12,'M - All'!$M$15,'M - All'!$M$18,'M - All'!$M$21,'M - All'!$M$24,'M - All'!$M$27)</c:f>
              <c:numCache>
                <c:formatCode>\$#,##0.00</c:formatCode>
                <c:ptCount val="9"/>
                <c:pt idx="0">
                  <c:v>1575.72</c:v>
                </c:pt>
                <c:pt idx="1">
                  <c:v>566.09</c:v>
                </c:pt>
                <c:pt idx="2">
                  <c:v>0</c:v>
                </c:pt>
                <c:pt idx="3">
                  <c:v>0</c:v>
                </c:pt>
                <c:pt idx="4">
                  <c:v>5927.68</c:v>
                </c:pt>
                <c:pt idx="5">
                  <c:v>123704.88</c:v>
                </c:pt>
                <c:pt idx="6">
                  <c:v>60490.25</c:v>
                </c:pt>
                <c:pt idx="7">
                  <c:v>27985.06</c:v>
                </c:pt>
                <c:pt idx="8">
                  <c:v>25571.759999999998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D0-4BF3-8C3B-A4DCC657164E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All'!$T$3,'M - All'!$T$6,'M - All'!$T$9,'M - All'!$T$12,'M - All'!$T$15,'M - All'!$T$18,'M - All'!$T$21,'M - All'!$T$24,'M - All'!$T$27)</c:f>
              <c:numCache>
                <c:formatCode>\$#,##0.00</c:formatCode>
                <c:ptCount val="9"/>
                <c:pt idx="0">
                  <c:v>204.9</c:v>
                </c:pt>
                <c:pt idx="1">
                  <c:v>1054.8699999999999</c:v>
                </c:pt>
                <c:pt idx="2">
                  <c:v>23.98</c:v>
                </c:pt>
                <c:pt idx="3">
                  <c:v>215</c:v>
                </c:pt>
                <c:pt idx="4">
                  <c:v>7924.33</c:v>
                </c:pt>
                <c:pt idx="5">
                  <c:v>156717.85</c:v>
                </c:pt>
                <c:pt idx="6">
                  <c:v>59952.52</c:v>
                </c:pt>
                <c:pt idx="7">
                  <c:v>10230.44</c:v>
                </c:pt>
                <c:pt idx="8">
                  <c:v>4858.54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D0-4BF3-8C3B-A4DCC6571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All'!$G$4,'M - All'!$G$7,'M - All'!$G$10,'M - All'!$G$13,'M - All'!$G$16,'M - All'!$G$19,'M - All'!$G$22,'M - All'!$G$25,'M - All'!$G$28)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83-4106-A518-070FEABC5F0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All'!$M$4,'M - All'!$M$7,'M - All'!$M$10,'M - All'!$M$13,'M - All'!$M$16,'M - All'!$M$19,'M - All'!$M$22,'M - All'!$M$25,'M - All'!$M$28)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3-4106-A518-070FEABC5F0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All'!$T$4,'M - All'!$T$7,'M - All'!$T$10,'M - All'!$T$13,'M - All'!$T$16,'M - All'!$T$19,'M - All'!$T$22,'M - All'!$T$25,'M - All'!$T$28)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83-4106-A518-070FEABC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Dashboard'!$C$3,'January 2026 - Dashboard'!$C$6,'January 2026 - Dashboard'!$C$9,'January 2026 - Dashboard'!$C$12,'January 2026 - Dashboard'!$C$15,'January 2026 - Dashboard'!$C$18,'January 2026 - Dashboard'!$C$21)</c:f>
              <c:numCache>
                <c:formatCode>"$"#,##0.00</c:formatCode>
                <c:ptCount val="7"/>
                <c:pt idx="0">
                  <c:v>460294.22</c:v>
                </c:pt>
                <c:pt idx="1">
                  <c:v>607745.96</c:v>
                </c:pt>
                <c:pt idx="2">
                  <c:v>262229.07</c:v>
                </c:pt>
                <c:pt idx="3">
                  <c:v>769599.07000000007</c:v>
                </c:pt>
                <c:pt idx="4">
                  <c:v>361461.81</c:v>
                </c:pt>
                <c:pt idx="5">
                  <c:v>175891.30000000002</c:v>
                </c:pt>
                <c:pt idx="6">
                  <c:v>2637221.4300000002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CAA-46C2-9AFA-61AC6BFE7DB3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Dashboard'!$O$3,'January 2026 - Dashboard'!$O$6,'January 2026 - Dashboard'!$O$9,'January 2026 - Dashboard'!$O$12,'January 2026 - Dashboard'!$O$15,'January 2026 - Dashboard'!$O$18,'January 2026 - Dashboard'!$O$21)</c:f>
              <c:numCache>
                <c:formatCode>"$"#,##0.00</c:formatCode>
                <c:ptCount val="7"/>
                <c:pt idx="0">
                  <c:v>529301.23</c:v>
                </c:pt>
                <c:pt idx="1">
                  <c:v>568636.15000000026</c:v>
                </c:pt>
                <c:pt idx="2">
                  <c:v>194269.16999999995</c:v>
                </c:pt>
                <c:pt idx="3">
                  <c:v>718450.2</c:v>
                </c:pt>
                <c:pt idx="4">
                  <c:v>374454.71</c:v>
                </c:pt>
                <c:pt idx="5">
                  <c:v>335008.69000000006</c:v>
                </c:pt>
                <c:pt idx="6">
                  <c:v>2720120.1500000004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AA-46C2-9AFA-61AC6BFE7DB3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Dashboard'!$AB$3,'January 2026 - Dashboard'!$AB$6,'January 2026 - Dashboard'!$AB$9,'January 2026 - Dashboard'!$AB$12,'January 2026 - Dashboard'!$AB$15,'January 2026 - Dashboard'!$AB$18,'January 2026 - Dashboard'!$AB$21)</c:f>
              <c:numCache>
                <c:formatCode>"$"#,##0.00</c:formatCode>
                <c:ptCount val="7"/>
                <c:pt idx="0">
                  <c:v>492639.74999999994</c:v>
                </c:pt>
                <c:pt idx="1">
                  <c:v>609539.05999999982</c:v>
                </c:pt>
                <c:pt idx="2">
                  <c:v>182512.50999999998</c:v>
                </c:pt>
                <c:pt idx="3">
                  <c:v>608889.55000000005</c:v>
                </c:pt>
                <c:pt idx="4">
                  <c:v>292493.43000000005</c:v>
                </c:pt>
                <c:pt idx="5">
                  <c:v>408856.46</c:v>
                </c:pt>
                <c:pt idx="6">
                  <c:v>2594930.7599999998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CAA-46C2-9AFA-61AC6BFE7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All'!$I$2,'M - All'!$I$5,'M - All'!$I$8,'M - All'!$I$11,'M - All'!$I$14,'M - All'!$I$17,'M - All'!$I$20,'M - All'!$I$23,'M - All'!$I$26)</c:f>
              <c:numCache>
                <c:formatCode>0.0%</c:formatCode>
                <c:ptCount val="9"/>
                <c:pt idx="0">
                  <c:v>0.35599999999999998</c:v>
                </c:pt>
                <c:pt idx="1">
                  <c:v>0.312</c:v>
                </c:pt>
                <c:pt idx="2">
                  <c:v>0.76500000000000001</c:v>
                </c:pt>
                <c:pt idx="3">
                  <c:v>0</c:v>
                </c:pt>
                <c:pt idx="4">
                  <c:v>0.42499999999999999</c:v>
                </c:pt>
                <c:pt idx="5">
                  <c:v>0.247</c:v>
                </c:pt>
                <c:pt idx="6">
                  <c:v>0.23699999999999999</c:v>
                </c:pt>
                <c:pt idx="7">
                  <c:v>0.32600000000000001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18-4AA2-A99D-12D7A04F8447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All'!$O$2,'M - All'!$O$5,'M - All'!$O$8,'M - All'!$O$11,'M - All'!$O$14,'M - All'!$O$17,'M - All'!$O$20,'M - All'!$O$23,'M - All'!$O$26)</c:f>
              <c:numCache>
                <c:formatCode>0.0%</c:formatCode>
                <c:ptCount val="9"/>
                <c:pt idx="0">
                  <c:v>0.38300000000000001</c:v>
                </c:pt>
                <c:pt idx="1">
                  <c:v>0.35499999999999998</c:v>
                </c:pt>
                <c:pt idx="2">
                  <c:v>0</c:v>
                </c:pt>
                <c:pt idx="3">
                  <c:v>0.36499999999999999</c:v>
                </c:pt>
                <c:pt idx="4">
                  <c:v>0.42799999999999999</c:v>
                </c:pt>
                <c:pt idx="5">
                  <c:v>0.23699999999999999</c:v>
                </c:pt>
                <c:pt idx="6">
                  <c:v>0</c:v>
                </c:pt>
                <c:pt idx="7">
                  <c:v>0.27600000000000002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18-4AA2-A99D-12D7A04F8447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All'!$V$2,'M - All'!$V$5,'M - All'!$V$8,'M - All'!$V$11,'M - All'!$V$14,'M - All'!$V$17,'M - All'!$V$20,'M - All'!$V$23,'M - All'!$V$26)</c:f>
              <c:numCache>
                <c:formatCode>0.0%</c:formatCode>
                <c:ptCount val="9"/>
                <c:pt idx="0">
                  <c:v>0.33200000000000002</c:v>
                </c:pt>
                <c:pt idx="1">
                  <c:v>0.4</c:v>
                </c:pt>
                <c:pt idx="2">
                  <c:v>0.438</c:v>
                </c:pt>
                <c:pt idx="3">
                  <c:v>0.34699999999999998</c:v>
                </c:pt>
                <c:pt idx="4">
                  <c:v>0.40200000000000002</c:v>
                </c:pt>
                <c:pt idx="5">
                  <c:v>0.30399999999999999</c:v>
                </c:pt>
                <c:pt idx="6">
                  <c:v>0.26100000000000001</c:v>
                </c:pt>
                <c:pt idx="7">
                  <c:v>0.27200000000000002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18-4AA2-A99D-12D7A04F8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All'!$I$3,'M - All'!$I$6,'M - All'!$I$9,'M - All'!$I$12,'M - All'!$I$15,'M - All'!$I$18,'M - All'!$I$21,'M - All'!$I$24,'M - All'!$I$27)</c:f>
              <c:numCache>
                <c:formatCode>0.0%</c:formatCode>
                <c:ptCount val="9"/>
                <c:pt idx="0">
                  <c:v>0.32500000000000001</c:v>
                </c:pt>
                <c:pt idx="1">
                  <c:v>1.2350000000000001</c:v>
                </c:pt>
                <c:pt idx="2">
                  <c:v>0</c:v>
                </c:pt>
                <c:pt idx="3">
                  <c:v>0.29599999999999999</c:v>
                </c:pt>
                <c:pt idx="4">
                  <c:v>0.41899999999999998</c:v>
                </c:pt>
                <c:pt idx="5">
                  <c:v>0.184</c:v>
                </c:pt>
                <c:pt idx="6">
                  <c:v>0.22800000000000001</c:v>
                </c:pt>
                <c:pt idx="7">
                  <c:v>0.32900000000000001</c:v>
                </c:pt>
                <c:pt idx="8">
                  <c:v>0.21199999999999999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6-4ABB-B8CE-039E58F3BB6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All'!$O$3,'M - All'!$O$6,'M - All'!$O$9,'M - All'!$O$12,'M - All'!$O$15,'M - All'!$O$18,'M - All'!$O$21,'M - All'!$O$24,'M - All'!$O$27)</c:f>
              <c:numCache>
                <c:formatCode>0.0%</c:formatCode>
                <c:ptCount val="9"/>
                <c:pt idx="0">
                  <c:v>0.30599999999999999</c:v>
                </c:pt>
                <c:pt idx="1">
                  <c:v>0.45700000000000002</c:v>
                </c:pt>
                <c:pt idx="2">
                  <c:v>0</c:v>
                </c:pt>
                <c:pt idx="3">
                  <c:v>0</c:v>
                </c:pt>
                <c:pt idx="4">
                  <c:v>0.36199999999999999</c:v>
                </c:pt>
                <c:pt idx="5">
                  <c:v>0.17199999999999999</c:v>
                </c:pt>
                <c:pt idx="6">
                  <c:v>0.22500000000000001</c:v>
                </c:pt>
                <c:pt idx="7">
                  <c:v>0.27500000000000002</c:v>
                </c:pt>
                <c:pt idx="8">
                  <c:v>0.23100000000000001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26-4ABB-B8CE-039E58F3BB6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All'!$V$3,'M - All'!$V$6,'M - All'!$V$9,'M - All'!$V$12,'M - All'!$V$15,'M - All'!$V$18,'M - All'!$V$21,'M - All'!$V$24,'M - All'!$V$27)</c:f>
              <c:numCache>
                <c:formatCode>0.0%</c:formatCode>
                <c:ptCount val="9"/>
                <c:pt idx="0">
                  <c:v>0.432</c:v>
                </c:pt>
                <c:pt idx="1">
                  <c:v>0.40300000000000002</c:v>
                </c:pt>
                <c:pt idx="2">
                  <c:v>0.78600000000000003</c:v>
                </c:pt>
                <c:pt idx="3">
                  <c:v>0.223</c:v>
                </c:pt>
                <c:pt idx="4">
                  <c:v>0.41699999999999998</c:v>
                </c:pt>
                <c:pt idx="5">
                  <c:v>0.191</c:v>
                </c:pt>
                <c:pt idx="6">
                  <c:v>0.186</c:v>
                </c:pt>
                <c:pt idx="7">
                  <c:v>0.24</c:v>
                </c:pt>
                <c:pt idx="8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26-4ABB-B8CE-039E58F3B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</a:t>
            </a:r>
            <a:r>
              <a:rPr lang="en-US" baseline="0"/>
              <a:t> Store</a:t>
            </a:r>
            <a:r>
              <a:rPr lang="en-US"/>
              <a:t> GP%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All'!$I$4,'M - All'!$I$7,'M - All'!$I$10,'M - All'!$I$13,'M - All'!$I$16,'M - All'!$I$19,'M - All'!$I$22,'M - All'!$I$25,'M - All'!$I$28)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51-4414-808D-455A51BEBF0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All'!$O$4,'M - All'!$O$7,'M - All'!$O$10,'M - All'!$O$13,'M - All'!$O$16,'M - All'!$O$19,'M - All'!$O$22,'M - All'!$O$25,'M - All'!$O$28)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51-4414-808D-455A51BEBF0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All'!$V$4,'M - All'!$V$7,'M - All'!$V$10,'M - All'!$V$13,'M - All'!$V$16,'M - All'!$V$19,'M - All'!$V$22,'M - All'!$V$25,'M - All'!$V$28)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51-4414-808D-455A51BEB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All'!$H$2,'M - All'!$H$5,'M - All'!$H$8,'M - All'!$H$11,'M - All'!$H$14,'M - All'!$H$17,'M - All'!$H$20,'M - All'!$H$23,'M - All'!$H$26)</c:f>
              <c:numCache>
                <c:formatCode>\$#,##0.00</c:formatCode>
                <c:ptCount val="9"/>
                <c:pt idx="0">
                  <c:v>275.08</c:v>
                </c:pt>
                <c:pt idx="1">
                  <c:v>602.82000000000005</c:v>
                </c:pt>
                <c:pt idx="2">
                  <c:v>22.94</c:v>
                </c:pt>
                <c:pt idx="3">
                  <c:v>0</c:v>
                </c:pt>
                <c:pt idx="4">
                  <c:v>688.75</c:v>
                </c:pt>
                <c:pt idx="5">
                  <c:v>610.97</c:v>
                </c:pt>
                <c:pt idx="6">
                  <c:v>243.63</c:v>
                </c:pt>
                <c:pt idx="7">
                  <c:v>71.84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64-4A79-8899-178264A8C9E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All'!$N$2,'M - All'!$N$5,'M - All'!$N$8,'M - All'!$N$11,'M - All'!$N$14,'M - All'!$N$17,'M - All'!$N$20,'M - All'!$N$23,'M - All'!$N$26)</c:f>
              <c:numCache>
                <c:formatCode>\$#,##0.00</c:formatCode>
                <c:ptCount val="9"/>
                <c:pt idx="0">
                  <c:v>137.18</c:v>
                </c:pt>
                <c:pt idx="1">
                  <c:v>1204.3499999999999</c:v>
                </c:pt>
                <c:pt idx="2">
                  <c:v>0</c:v>
                </c:pt>
                <c:pt idx="3">
                  <c:v>219.9</c:v>
                </c:pt>
                <c:pt idx="4">
                  <c:v>1257.28</c:v>
                </c:pt>
                <c:pt idx="5">
                  <c:v>433.37</c:v>
                </c:pt>
                <c:pt idx="6">
                  <c:v>0</c:v>
                </c:pt>
                <c:pt idx="7">
                  <c:v>505.38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64-4A79-8899-178264A8C9E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All'!$U$2,'M - All'!$U$5,'M - All'!$U$8,'M - All'!$U$11,'M - All'!$U$14,'M - All'!$U$17,'M - All'!$U$20,'M - All'!$U$23,'M - All'!$U$26)</c:f>
              <c:numCache>
                <c:formatCode>\$#,##0.00</c:formatCode>
                <c:ptCount val="9"/>
                <c:pt idx="0">
                  <c:v>70.23</c:v>
                </c:pt>
                <c:pt idx="1">
                  <c:v>1135.5899999999999</c:v>
                </c:pt>
                <c:pt idx="2">
                  <c:v>6.57</c:v>
                </c:pt>
                <c:pt idx="3">
                  <c:v>285.60000000000002</c:v>
                </c:pt>
                <c:pt idx="4">
                  <c:v>806.01</c:v>
                </c:pt>
                <c:pt idx="5">
                  <c:v>388.65</c:v>
                </c:pt>
                <c:pt idx="6">
                  <c:v>3</c:v>
                </c:pt>
                <c:pt idx="7">
                  <c:v>23.2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64-4A79-8899-178264A8C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</a:t>
            </a:r>
            <a:r>
              <a:rPr lang="en-US" baseline="0"/>
              <a:t> </a:t>
            </a:r>
            <a:r>
              <a:rPr lang="en-US"/>
              <a:t>GP$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All'!$H$3,'M - All'!$H$6,'M - All'!$H$9,'M - All'!$H$12,'M - All'!$H$15,'M - All'!$H$18,'M - All'!$H$21,'M - All'!$H$24,'M - All'!$H$27)</c:f>
              <c:numCache>
                <c:formatCode>\$#,##0.00</c:formatCode>
                <c:ptCount val="9"/>
                <c:pt idx="0">
                  <c:v>548.46</c:v>
                </c:pt>
                <c:pt idx="1">
                  <c:v>-213.94</c:v>
                </c:pt>
                <c:pt idx="2">
                  <c:v>0</c:v>
                </c:pt>
                <c:pt idx="3">
                  <c:v>87.58</c:v>
                </c:pt>
                <c:pt idx="4">
                  <c:v>2895.06</c:v>
                </c:pt>
                <c:pt idx="5">
                  <c:v>13602.7</c:v>
                </c:pt>
                <c:pt idx="6">
                  <c:v>7219.65</c:v>
                </c:pt>
                <c:pt idx="7">
                  <c:v>2950.22</c:v>
                </c:pt>
                <c:pt idx="8">
                  <c:v>646.94000000000005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3-4155-B90E-0129082AB5C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All'!$N$3,'M - All'!$N$6,'M - All'!$N$9,'M - All'!$N$12,'M - All'!$N$15,'M - All'!$N$18,'M - All'!$N$21,'M - All'!$N$24,'M - All'!$N$27)</c:f>
              <c:numCache>
                <c:formatCode>\$#,##0.00</c:formatCode>
                <c:ptCount val="9"/>
                <c:pt idx="0">
                  <c:v>482.24</c:v>
                </c:pt>
                <c:pt idx="1">
                  <c:v>258.44</c:v>
                </c:pt>
                <c:pt idx="2">
                  <c:v>0</c:v>
                </c:pt>
                <c:pt idx="3">
                  <c:v>0</c:v>
                </c:pt>
                <c:pt idx="4">
                  <c:v>2148.73</c:v>
                </c:pt>
                <c:pt idx="5">
                  <c:v>21258.68</c:v>
                </c:pt>
                <c:pt idx="6">
                  <c:v>13589.67</c:v>
                </c:pt>
                <c:pt idx="7">
                  <c:v>7701.21</c:v>
                </c:pt>
                <c:pt idx="8">
                  <c:v>5919.67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53-4155-B90E-0129082AB5C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All'!$U$3,'M - All'!$U$6,'M - All'!$U$9,'M - All'!$U$12,'M - All'!$U$15,'M - All'!$U$18,'M - All'!$U$21,'M - All'!$U$24,'M - All'!$U$27)</c:f>
              <c:numCache>
                <c:formatCode>\$#,##0.00</c:formatCode>
                <c:ptCount val="9"/>
                <c:pt idx="0">
                  <c:v>88.52</c:v>
                </c:pt>
                <c:pt idx="1">
                  <c:v>425.44</c:v>
                </c:pt>
                <c:pt idx="2">
                  <c:v>18.86</c:v>
                </c:pt>
                <c:pt idx="3">
                  <c:v>47.89</c:v>
                </c:pt>
                <c:pt idx="4">
                  <c:v>3303.44</c:v>
                </c:pt>
                <c:pt idx="5">
                  <c:v>29938.68</c:v>
                </c:pt>
                <c:pt idx="6">
                  <c:v>11133.64</c:v>
                </c:pt>
                <c:pt idx="7">
                  <c:v>2459.62</c:v>
                </c:pt>
                <c:pt idx="8">
                  <c:v>887.4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53-4155-B90E-0129082AB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</a:t>
            </a:r>
            <a:r>
              <a:rPr lang="en-US" baseline="0"/>
              <a:t> </a:t>
            </a:r>
            <a:r>
              <a:rPr lang="en-US"/>
              <a:t>GP$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All'!$H$4,'M - All'!$H$7,'M - All'!$H$10,'M - All'!$H$13,'M - All'!$H$16,'M - All'!$H$19,'M - All'!$H$22,'M - All'!$H$25,'M - All'!$H$28)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1B-484A-A6FC-8F6A653AFB13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All'!$N$4,'M - All'!$N$7,'M - All'!$N$10,'M - All'!$N$13,'M - All'!$N$16,'M - All'!$N$19,'M - All'!$N$22,'M - All'!$N$25,'M - All'!$N$28)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1B-484A-A6FC-8F6A653AFB13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All'!$U$4,'M - All'!$U$7,'M - All'!$U$10,'M - All'!$U$13,'M - All'!$U$16,'M - All'!$U$19,'M - All'!$U$22,'M - All'!$U$25,'M - All'!$U$28)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1B-484A-A6FC-8F6A653A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All'!$D$2,'HW - All'!$D$5,'HW - All'!$D$8,'HW - All'!$D$11,'HW - All'!$D$14,'HW - All'!$D$17,'HW - All'!$D$20,'HW - All'!$D$23,'HW - All'!$D$26,'HW - All'!$D$29,'HW - All'!$D$32,'HW - All'!$D$35,'HW - All'!$D$38,'HW - All'!$D$41,'HW - All'!$D$44,'HW - All'!$D$47)</c:f>
              <c:numCache>
                <c:formatCode>\$#,##0.00</c:formatCode>
                <c:ptCount val="16"/>
                <c:pt idx="0">
                  <c:v>30112.400000000001</c:v>
                </c:pt>
                <c:pt idx="1">
                  <c:v>111085.57</c:v>
                </c:pt>
                <c:pt idx="2">
                  <c:v>108574.75</c:v>
                </c:pt>
                <c:pt idx="3">
                  <c:v>65135.18</c:v>
                </c:pt>
                <c:pt idx="4">
                  <c:v>33462.22</c:v>
                </c:pt>
                <c:pt idx="5">
                  <c:v>38733.199999999997</c:v>
                </c:pt>
                <c:pt idx="6">
                  <c:v>8595.5</c:v>
                </c:pt>
                <c:pt idx="7">
                  <c:v>17533.72</c:v>
                </c:pt>
                <c:pt idx="8">
                  <c:v>7472.73</c:v>
                </c:pt>
                <c:pt idx="9">
                  <c:v>1445.82</c:v>
                </c:pt>
                <c:pt idx="10">
                  <c:v>1.86</c:v>
                </c:pt>
                <c:pt idx="11">
                  <c:v>3136.64</c:v>
                </c:pt>
                <c:pt idx="12">
                  <c:v>10408.68</c:v>
                </c:pt>
                <c:pt idx="13">
                  <c:v>0</c:v>
                </c:pt>
                <c:pt idx="14">
                  <c:v>8355.11</c:v>
                </c:pt>
                <c:pt idx="15">
                  <c:v>16770.98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5D-4D11-B795-3BEF65A3180F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All'!$J$2,'HW - All'!$J$5,'HW - All'!$J$8,'HW - All'!$J$11,'HW - All'!$J$14,'HW - All'!$J$17,'HW - All'!$J$20,'HW - All'!$J$23,'HW - All'!$J$26,'HW - All'!$J$29,'HW - All'!$J$32,'HW - All'!$J$35,'HW - All'!$J$38,'HW - All'!$J$41,'HW - All'!$J$44,'HW - All'!$J$47)</c:f>
              <c:numCache>
                <c:formatCode>\$#,##0.00</c:formatCode>
                <c:ptCount val="16"/>
                <c:pt idx="0">
                  <c:v>29089.83</c:v>
                </c:pt>
                <c:pt idx="1">
                  <c:v>131143.22</c:v>
                </c:pt>
                <c:pt idx="2">
                  <c:v>95448.12</c:v>
                </c:pt>
                <c:pt idx="3">
                  <c:v>63346</c:v>
                </c:pt>
                <c:pt idx="4">
                  <c:v>24881</c:v>
                </c:pt>
                <c:pt idx="5">
                  <c:v>29964.7</c:v>
                </c:pt>
                <c:pt idx="6">
                  <c:v>6259.26</c:v>
                </c:pt>
                <c:pt idx="7">
                  <c:v>16021.45</c:v>
                </c:pt>
                <c:pt idx="8">
                  <c:v>7582.79</c:v>
                </c:pt>
                <c:pt idx="9">
                  <c:v>1287.8499999999999</c:v>
                </c:pt>
                <c:pt idx="10">
                  <c:v>956.99</c:v>
                </c:pt>
                <c:pt idx="11">
                  <c:v>6227.17</c:v>
                </c:pt>
                <c:pt idx="12">
                  <c:v>8657.49</c:v>
                </c:pt>
                <c:pt idx="13">
                  <c:v>0</c:v>
                </c:pt>
                <c:pt idx="14">
                  <c:v>71.930000000000007</c:v>
                </c:pt>
                <c:pt idx="15">
                  <c:v>14246.63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5D-4D11-B795-3BEF65A3180F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All'!$Q$2,'HW - All'!$Q$5,'HW - All'!$Q$8,'HW - All'!$Q$11,'HW - All'!$Q$14,'HW - All'!$Q$17,'HW - All'!$Q$20,'HW - All'!$Q$23,'HW - All'!$Q$26,'HW - All'!$Q$29,'HW - All'!$Q$32,'HW - All'!$Q$35,'HW - All'!$Q$38,'HW - All'!$Q$41,'HW - All'!$Q$44,'HW - All'!$Q$47)</c:f>
              <c:numCache>
                <c:formatCode>\$#,##0.00</c:formatCode>
                <c:ptCount val="16"/>
                <c:pt idx="0">
                  <c:v>25408.31</c:v>
                </c:pt>
                <c:pt idx="1">
                  <c:v>140762.74</c:v>
                </c:pt>
                <c:pt idx="2">
                  <c:v>89057.4</c:v>
                </c:pt>
                <c:pt idx="3">
                  <c:v>54975.94</c:v>
                </c:pt>
                <c:pt idx="4">
                  <c:v>24867.73</c:v>
                </c:pt>
                <c:pt idx="5">
                  <c:v>16430.349999999999</c:v>
                </c:pt>
                <c:pt idx="6">
                  <c:v>5650.27</c:v>
                </c:pt>
                <c:pt idx="7">
                  <c:v>12314.31</c:v>
                </c:pt>
                <c:pt idx="8">
                  <c:v>5685.78</c:v>
                </c:pt>
                <c:pt idx="9">
                  <c:v>427.9</c:v>
                </c:pt>
                <c:pt idx="10">
                  <c:v>282.58</c:v>
                </c:pt>
                <c:pt idx="11">
                  <c:v>8367.4599999999991</c:v>
                </c:pt>
                <c:pt idx="12">
                  <c:v>13035.29</c:v>
                </c:pt>
                <c:pt idx="13">
                  <c:v>0</c:v>
                </c:pt>
                <c:pt idx="14">
                  <c:v>571.36</c:v>
                </c:pt>
                <c:pt idx="15">
                  <c:v>16513.61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5D-4D11-B795-3BEF65A31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All'!$D$3,'HW - All'!$D$6,'HW - All'!$D$9,'HW - All'!$D$12,'HW - All'!$D$15,'HW - All'!$D$18,'HW - All'!$D$21,'HW - All'!$D$24,'HW - All'!$D$27,'HW - All'!$D$30,'HW - All'!$D$33,'HW - All'!$D$36,'HW - All'!$D$39,'HW - All'!$D$42,'HW - All'!$D$45,'HW - All'!$D$48)</c:f>
              <c:numCache>
                <c:formatCode>\$#,##0.00</c:formatCode>
                <c:ptCount val="16"/>
                <c:pt idx="0">
                  <c:v>15987.93</c:v>
                </c:pt>
                <c:pt idx="1">
                  <c:v>42714.9</c:v>
                </c:pt>
                <c:pt idx="2">
                  <c:v>87936.85</c:v>
                </c:pt>
                <c:pt idx="3">
                  <c:v>41344.36</c:v>
                </c:pt>
                <c:pt idx="4">
                  <c:v>39997.32</c:v>
                </c:pt>
                <c:pt idx="5">
                  <c:v>45598.18</c:v>
                </c:pt>
                <c:pt idx="6">
                  <c:v>7469.47</c:v>
                </c:pt>
                <c:pt idx="7">
                  <c:v>4454.17</c:v>
                </c:pt>
                <c:pt idx="8">
                  <c:v>5055.54</c:v>
                </c:pt>
                <c:pt idx="9">
                  <c:v>696.92</c:v>
                </c:pt>
                <c:pt idx="10">
                  <c:v>0</c:v>
                </c:pt>
                <c:pt idx="11">
                  <c:v>2475.13</c:v>
                </c:pt>
                <c:pt idx="12">
                  <c:v>6183.89</c:v>
                </c:pt>
                <c:pt idx="13">
                  <c:v>0</c:v>
                </c:pt>
                <c:pt idx="14">
                  <c:v>564.12</c:v>
                </c:pt>
                <c:pt idx="15">
                  <c:v>6950.48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F5-48DA-BD94-73824D2A624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All'!$J$3,'HW - All'!$J$6,'HW - All'!$J$9,'HW - All'!$J$12,'HW - All'!$J$15,'HW - All'!$J$18,'HW - All'!$J$21,'HW - All'!$J$24,'HW - All'!$J$27,'HW - All'!$J$30,'HW - All'!$J$33,'HW - All'!$J$36,'HW - All'!$J$39,'HW - All'!$J$42,'HW - All'!$J$45,'HW - All'!$J$48)</c:f>
              <c:numCache>
                <c:formatCode>\$#,##0.00</c:formatCode>
                <c:ptCount val="16"/>
                <c:pt idx="0">
                  <c:v>19635.8</c:v>
                </c:pt>
                <c:pt idx="1">
                  <c:v>43960.32</c:v>
                </c:pt>
                <c:pt idx="2">
                  <c:v>90433.4</c:v>
                </c:pt>
                <c:pt idx="3">
                  <c:v>35391.21</c:v>
                </c:pt>
                <c:pt idx="4">
                  <c:v>22337.47</c:v>
                </c:pt>
                <c:pt idx="5">
                  <c:v>28964.98</c:v>
                </c:pt>
                <c:pt idx="6">
                  <c:v>3605.44</c:v>
                </c:pt>
                <c:pt idx="7">
                  <c:v>7347.46</c:v>
                </c:pt>
                <c:pt idx="8">
                  <c:v>5672.63</c:v>
                </c:pt>
                <c:pt idx="9">
                  <c:v>966.97</c:v>
                </c:pt>
                <c:pt idx="10">
                  <c:v>4738.96</c:v>
                </c:pt>
                <c:pt idx="11">
                  <c:v>2268.63</c:v>
                </c:pt>
                <c:pt idx="12">
                  <c:v>9036.18</c:v>
                </c:pt>
                <c:pt idx="13">
                  <c:v>0</c:v>
                </c:pt>
                <c:pt idx="14">
                  <c:v>346.14</c:v>
                </c:pt>
                <c:pt idx="15">
                  <c:v>3479.05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F5-48DA-BD94-73824D2A624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All'!$Q$3,'HW - All'!$Q$6,'HW - All'!$Q$9,'HW - All'!$Q$12,'HW - All'!$Q$15,'HW - All'!$Q$18,'HW - All'!$Q$21,'HW - All'!$Q$24,'HW - All'!$Q$27,'HW - All'!$Q$30,'HW - All'!$Q$33,'HW - All'!$Q$36,'HW - All'!$Q$39,'HW - All'!$Q$42,'HW - All'!$Q$45,'HW - All'!$Q$48)</c:f>
              <c:numCache>
                <c:formatCode>\$#,##0.00</c:formatCode>
                <c:ptCount val="16"/>
                <c:pt idx="0">
                  <c:v>10839.98</c:v>
                </c:pt>
                <c:pt idx="1">
                  <c:v>46141.63</c:v>
                </c:pt>
                <c:pt idx="2">
                  <c:v>68048.88</c:v>
                </c:pt>
                <c:pt idx="3">
                  <c:v>31593.79</c:v>
                </c:pt>
                <c:pt idx="4">
                  <c:v>5687.87</c:v>
                </c:pt>
                <c:pt idx="5">
                  <c:v>9799.0499999999993</c:v>
                </c:pt>
                <c:pt idx="6">
                  <c:v>1604.08</c:v>
                </c:pt>
                <c:pt idx="7">
                  <c:v>1109.1400000000001</c:v>
                </c:pt>
                <c:pt idx="8">
                  <c:v>1089.5899999999999</c:v>
                </c:pt>
                <c:pt idx="9">
                  <c:v>42.51</c:v>
                </c:pt>
                <c:pt idx="10">
                  <c:v>148.56</c:v>
                </c:pt>
                <c:pt idx="11">
                  <c:v>1503.38</c:v>
                </c:pt>
                <c:pt idx="12">
                  <c:v>9828.82</c:v>
                </c:pt>
                <c:pt idx="13">
                  <c:v>0</c:v>
                </c:pt>
                <c:pt idx="14">
                  <c:v>668.93</c:v>
                </c:pt>
                <c:pt idx="15">
                  <c:v>6432.31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F5-48DA-BD94-73824D2A6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All'!$D$4,'HW - All'!$D$7,'HW - All'!$D$10,'HW - All'!$D$13,'HW - All'!$D$16,'HW - All'!$D$19,'HW - All'!$D$22,'HW - All'!$D$25,'HW - All'!$D$28,'HW - All'!$D$31,'HW - All'!$D$34,'HW - All'!$D$37,'HW - All'!$D$40,'HW - All'!$D$43,'HW - All'!$D$46,'HW - All'!$D$49)</c:f>
              <c:numCache>
                <c:formatCode>\$#,##0.00</c:formatCode>
                <c:ptCount val="16"/>
                <c:pt idx="0">
                  <c:v>246.98</c:v>
                </c:pt>
                <c:pt idx="1">
                  <c:v>376.65</c:v>
                </c:pt>
                <c:pt idx="2">
                  <c:v>32.4</c:v>
                </c:pt>
                <c:pt idx="3">
                  <c:v>341.64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139.76</c:v>
                </c:pt>
                <c:pt idx="8">
                  <c:v>58.93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149.09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AD-4BE2-9723-CB9133E03DD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All'!$J$4,'HW - All'!$J$7,'HW - All'!$J$10,'HW - All'!$J$13,'HW - All'!$J$16,'HW - All'!$J$19,'HW - All'!$J$22,'HW - All'!$J$25,'HW - All'!$J$28,'HW - All'!$J$31,'HW - All'!$J$34,'HW - All'!$J$37,'HW - All'!$J$40,'HW - All'!$J$43,'HW - All'!$J$46,'HW - All'!$J$49)</c:f>
              <c:numCache>
                <c:formatCode>\$#,##0.00</c:formatCode>
                <c:ptCount val="16"/>
                <c:pt idx="0">
                  <c:v>248.85</c:v>
                </c:pt>
                <c:pt idx="1">
                  <c:v>3394.2</c:v>
                </c:pt>
                <c:pt idx="2">
                  <c:v>36.229999999999997</c:v>
                </c:pt>
                <c:pt idx="3">
                  <c:v>256.58999999999997</c:v>
                </c:pt>
                <c:pt idx="4">
                  <c:v>-82.5</c:v>
                </c:pt>
                <c:pt idx="5">
                  <c:v>688.18</c:v>
                </c:pt>
                <c:pt idx="6">
                  <c:v>0</c:v>
                </c:pt>
                <c:pt idx="7">
                  <c:v>82.13</c:v>
                </c:pt>
                <c:pt idx="8">
                  <c:v>128.46</c:v>
                </c:pt>
                <c:pt idx="9">
                  <c:v>93.98</c:v>
                </c:pt>
                <c:pt idx="10">
                  <c:v>0.35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234.66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AD-4BE2-9723-CB9133E03DD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All'!$Q$4,'HW - All'!$Q$7,'HW - All'!$Q$10,'HW - All'!$Q$13,'HW - All'!$Q$16,'HW - All'!$Q$19,'HW - All'!$Q$22,'HW - All'!$Q$25,'HW - All'!$Q$28,'HW - All'!$Q$31,'HW - All'!$Q$34,'HW - All'!$Q$37,'HW - All'!$Q$40,'HW - All'!$Q$43,'HW - All'!$Q$46,'HW - All'!$Q$49)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AD-4BE2-9723-CB9133E03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All'!$G$2,'HW - All'!$G$5,'HW - All'!$G$8,'HW - All'!$G$11,'HW - All'!$G$14,'HW - All'!$G$17,'HW - All'!$G$20,'HW - All'!$G$23,'HW - All'!$G$26,'HW - All'!$G$29,'HW - All'!$G$32,'HW - All'!$G$35,'HW - All'!$G$38,'HW - All'!$G$41,'HW - All'!$G$44,'HW - All'!$G$47)</c:f>
              <c:numCache>
                <c:formatCode>\$#,##0.00</c:formatCode>
                <c:ptCount val="16"/>
                <c:pt idx="0">
                  <c:v>7703.26</c:v>
                </c:pt>
                <c:pt idx="1">
                  <c:v>23918.28</c:v>
                </c:pt>
                <c:pt idx="2">
                  <c:v>68410.41</c:v>
                </c:pt>
                <c:pt idx="3">
                  <c:v>22064.53</c:v>
                </c:pt>
                <c:pt idx="4">
                  <c:v>5504.43</c:v>
                </c:pt>
                <c:pt idx="5">
                  <c:v>3060.6</c:v>
                </c:pt>
                <c:pt idx="6">
                  <c:v>3591.35</c:v>
                </c:pt>
                <c:pt idx="7">
                  <c:v>4512.07</c:v>
                </c:pt>
                <c:pt idx="8">
                  <c:v>5669.09</c:v>
                </c:pt>
                <c:pt idx="9">
                  <c:v>714.3</c:v>
                </c:pt>
                <c:pt idx="10">
                  <c:v>139.05000000000001</c:v>
                </c:pt>
                <c:pt idx="11">
                  <c:v>747.29</c:v>
                </c:pt>
                <c:pt idx="12">
                  <c:v>3221.78</c:v>
                </c:pt>
                <c:pt idx="13">
                  <c:v>0</c:v>
                </c:pt>
                <c:pt idx="14">
                  <c:v>3943.16</c:v>
                </c:pt>
                <c:pt idx="15">
                  <c:v>510.34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C3-4F10-B93C-C4A67BE90F1B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All'!$M$2,'HW - All'!$M$5,'HW - All'!$M$8,'HW - All'!$M$11,'HW - All'!$M$14,'HW - All'!$M$17,'HW - All'!$M$20,'HW - All'!$M$23,'HW - All'!$M$26,'HW - All'!$M$29,'HW - All'!$M$32,'HW - All'!$M$35,'HW - All'!$M$38,'HW - All'!$M$41,'HW - All'!$M$44,'HW - All'!$M$47)</c:f>
              <c:numCache>
                <c:formatCode>\$#,##0.00</c:formatCode>
                <c:ptCount val="16"/>
                <c:pt idx="0">
                  <c:v>8074.19</c:v>
                </c:pt>
                <c:pt idx="1">
                  <c:v>25443.279999999999</c:v>
                </c:pt>
                <c:pt idx="2">
                  <c:v>47359.11</c:v>
                </c:pt>
                <c:pt idx="3">
                  <c:v>24397.81</c:v>
                </c:pt>
                <c:pt idx="4">
                  <c:v>3667.91</c:v>
                </c:pt>
                <c:pt idx="5">
                  <c:v>1682.47</c:v>
                </c:pt>
                <c:pt idx="6">
                  <c:v>1641.16</c:v>
                </c:pt>
                <c:pt idx="7">
                  <c:v>3088.77</c:v>
                </c:pt>
                <c:pt idx="8">
                  <c:v>2808.46</c:v>
                </c:pt>
                <c:pt idx="9">
                  <c:v>403.2</c:v>
                </c:pt>
                <c:pt idx="10">
                  <c:v>154.84</c:v>
                </c:pt>
                <c:pt idx="11">
                  <c:v>831.61</c:v>
                </c:pt>
                <c:pt idx="12">
                  <c:v>2905.75</c:v>
                </c:pt>
                <c:pt idx="13">
                  <c:v>0</c:v>
                </c:pt>
                <c:pt idx="14">
                  <c:v>2655.52</c:v>
                </c:pt>
                <c:pt idx="15">
                  <c:v>323.11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C3-4F10-B93C-C4A67BE90F1B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All'!$T$2,'HW - All'!$T$5,'HW - All'!$T$8,'HW - All'!$T$11,'HW - All'!$T$14,'HW - All'!$T$17,'HW - All'!$T$20,'HW - All'!$T$23,'HW - All'!$T$26,'HW - All'!$T$29,'HW - All'!$T$32,'HW - All'!$T$35,'HW - All'!$T$38,'HW - All'!$T$41,'HW - All'!$T$44,'HW - All'!$T$47)</c:f>
              <c:numCache>
                <c:formatCode>\$#,##0.00</c:formatCode>
                <c:ptCount val="16"/>
                <c:pt idx="0">
                  <c:v>9172.25</c:v>
                </c:pt>
                <c:pt idx="1">
                  <c:v>28888.03</c:v>
                </c:pt>
                <c:pt idx="2">
                  <c:v>59919.74</c:v>
                </c:pt>
                <c:pt idx="3">
                  <c:v>23666.78</c:v>
                </c:pt>
                <c:pt idx="4">
                  <c:v>4539.1499999999996</c:v>
                </c:pt>
                <c:pt idx="5">
                  <c:v>1732.79</c:v>
                </c:pt>
                <c:pt idx="6">
                  <c:v>1439.83</c:v>
                </c:pt>
                <c:pt idx="7">
                  <c:v>3004.45</c:v>
                </c:pt>
                <c:pt idx="8">
                  <c:v>1814.38</c:v>
                </c:pt>
                <c:pt idx="9">
                  <c:v>16.350000000000001</c:v>
                </c:pt>
                <c:pt idx="10">
                  <c:v>156.78</c:v>
                </c:pt>
                <c:pt idx="11">
                  <c:v>630.47</c:v>
                </c:pt>
                <c:pt idx="12">
                  <c:v>2174.7800000000002</c:v>
                </c:pt>
                <c:pt idx="13">
                  <c:v>0</c:v>
                </c:pt>
                <c:pt idx="14">
                  <c:v>7100.9</c:v>
                </c:pt>
                <c:pt idx="15">
                  <c:v>1318.42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C3-4F10-B93C-C4A67BE90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Special Order GP%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('January 2026 - Dashboard'!$A$8,'January 2026 - Dashboard'!$A$11,'January 2026 - Dashboard'!$A$14,'January 2026 - Dashboard'!$A$17,'January 2026 - Dashboard'!$A$20)</c:f>
              <c:strCache>
                <c:ptCount val="5"/>
                <c:pt idx="0">
                  <c:v>L Special Order</c:v>
                </c:pt>
                <c:pt idx="1">
                  <c:v>M Special Order</c:v>
                </c:pt>
                <c:pt idx="2">
                  <c:v>HW Special Order</c:v>
                </c:pt>
                <c:pt idx="3">
                  <c:v>P Special Order</c:v>
                </c:pt>
                <c:pt idx="4">
                  <c:v>OL Special Order</c:v>
                </c:pt>
              </c:strCache>
            </c:strRef>
          </c:cat>
          <c:val>
            <c:numRef>
              <c:f>('January 2026 - Dashboard'!$K$8,'January 2026 - Dashboard'!$K$11,'January 2026 - Dashboard'!$K$14,'January 2026 - Dashboard'!$K$17,'January 2026 - Dashboard'!$K$20)</c:f>
              <c:numCache>
                <c:formatCode>0.0%</c:formatCode>
                <c:ptCount val="5"/>
                <c:pt idx="0">
                  <c:v>0.21963602773933788</c:v>
                </c:pt>
                <c:pt idx="1">
                  <c:v>0.20885144252062582</c:v>
                </c:pt>
                <c:pt idx="2">
                  <c:v>0.22553533875290388</c:v>
                </c:pt>
                <c:pt idx="3">
                  <c:v>0.36864123159303874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07-46BA-A901-077C16E63D8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('January 2026 - Dashboard'!$A$8,'January 2026 - Dashboard'!$A$11,'January 2026 - Dashboard'!$A$14,'January 2026 - Dashboard'!$A$17,'January 2026 - Dashboard'!$A$20)</c:f>
              <c:strCache>
                <c:ptCount val="5"/>
                <c:pt idx="0">
                  <c:v>L Special Order</c:v>
                </c:pt>
                <c:pt idx="1">
                  <c:v>M Special Order</c:v>
                </c:pt>
                <c:pt idx="2">
                  <c:v>HW Special Order</c:v>
                </c:pt>
                <c:pt idx="3">
                  <c:v>P Special Order</c:v>
                </c:pt>
                <c:pt idx="4">
                  <c:v>OL Special Order</c:v>
                </c:pt>
              </c:strCache>
            </c:strRef>
          </c:cat>
          <c:val>
            <c:numRef>
              <c:f>('January 2026 - Dashboard'!$W$8,'January 2026 - Dashboard'!$W$11,'January 2026 - Dashboard'!$W$14,'January 2026 - Dashboard'!$W$17,'January 2026 - Dashboard'!$W$20)</c:f>
              <c:numCache>
                <c:formatCode>0.0%</c:formatCode>
                <c:ptCount val="5"/>
                <c:pt idx="0">
                  <c:v>0.21666136055420182</c:v>
                </c:pt>
                <c:pt idx="1">
                  <c:v>0.20466285025195763</c:v>
                </c:pt>
                <c:pt idx="2">
                  <c:v>0.32278576835730521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07-46BA-A901-077C16E63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9309319"/>
        <c:axId val="2123261447"/>
      </c:barChart>
      <c:catAx>
        <c:axId val="839309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3261447"/>
        <c:crosses val="autoZero"/>
        <c:auto val="1"/>
        <c:lblAlgn val="ctr"/>
        <c:lblOffset val="100"/>
        <c:noMultiLvlLbl val="0"/>
      </c:catAx>
      <c:valAx>
        <c:axId val="2123261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30931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All'!$G$3,'HW - All'!$G$6,'HW - All'!$G$9,'HW - All'!$G$12,'HW - All'!$G$15,'HW - All'!$G$18,'HW - All'!$G$21,'HW - All'!$G$24,'HW - All'!$G$27,'HW - All'!$G$30,'HW - All'!$G$33,'HW - All'!$G$36,'HW - All'!$G$39,'HW - All'!$G$42,'HW - All'!$G$45,'HW - All'!$G$48)</c:f>
              <c:numCache>
                <c:formatCode>\$#,##0.00</c:formatCode>
                <c:ptCount val="16"/>
                <c:pt idx="0">
                  <c:v>1154.97</c:v>
                </c:pt>
                <c:pt idx="1">
                  <c:v>2336.87</c:v>
                </c:pt>
                <c:pt idx="2">
                  <c:v>13625.33</c:v>
                </c:pt>
                <c:pt idx="3">
                  <c:v>3666.59</c:v>
                </c:pt>
                <c:pt idx="4">
                  <c:v>647.14</c:v>
                </c:pt>
                <c:pt idx="5">
                  <c:v>834.56</c:v>
                </c:pt>
                <c:pt idx="6">
                  <c:v>281.77999999999997</c:v>
                </c:pt>
                <c:pt idx="7">
                  <c:v>341.81</c:v>
                </c:pt>
                <c:pt idx="8">
                  <c:v>944.7</c:v>
                </c:pt>
                <c:pt idx="9">
                  <c:v>40.369999999999997</c:v>
                </c:pt>
                <c:pt idx="10">
                  <c:v>0</c:v>
                </c:pt>
                <c:pt idx="11">
                  <c:v>251.12</c:v>
                </c:pt>
                <c:pt idx="12">
                  <c:v>1817.77</c:v>
                </c:pt>
                <c:pt idx="13">
                  <c:v>0</c:v>
                </c:pt>
                <c:pt idx="14">
                  <c:v>2780.62</c:v>
                </c:pt>
                <c:pt idx="15">
                  <c:v>1090.49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A7-43AE-97C1-19142C3DA56D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All'!$M$3,'HW - All'!$M$6,'HW - All'!$M$9,'HW - All'!$M$12,'HW - All'!$M$15,'HW - All'!$M$18,'HW - All'!$M$21,'HW - All'!$M$24,'HW - All'!$M$27,'HW - All'!$M$30,'HW - All'!$M$33,'HW - All'!$M$36,'HW - All'!$M$39,'HW - All'!$M$42,'HW - All'!$M$45,'HW - All'!$M$48)</c:f>
              <c:numCache>
                <c:formatCode>\$#,##0.00</c:formatCode>
                <c:ptCount val="16"/>
                <c:pt idx="0">
                  <c:v>1333.27</c:v>
                </c:pt>
                <c:pt idx="1">
                  <c:v>2840.78</c:v>
                </c:pt>
                <c:pt idx="2">
                  <c:v>17529.72</c:v>
                </c:pt>
                <c:pt idx="3">
                  <c:v>2461.84</c:v>
                </c:pt>
                <c:pt idx="4">
                  <c:v>382.81</c:v>
                </c:pt>
                <c:pt idx="5">
                  <c:v>461.98</c:v>
                </c:pt>
                <c:pt idx="6">
                  <c:v>274.20999999999998</c:v>
                </c:pt>
                <c:pt idx="7">
                  <c:v>187.87</c:v>
                </c:pt>
                <c:pt idx="8">
                  <c:v>655.89</c:v>
                </c:pt>
                <c:pt idx="9">
                  <c:v>85.2</c:v>
                </c:pt>
                <c:pt idx="10">
                  <c:v>67.400000000000006</c:v>
                </c:pt>
                <c:pt idx="11">
                  <c:v>529.71</c:v>
                </c:pt>
                <c:pt idx="12">
                  <c:v>776.84</c:v>
                </c:pt>
                <c:pt idx="13">
                  <c:v>0</c:v>
                </c:pt>
                <c:pt idx="14">
                  <c:v>2364.2800000000002</c:v>
                </c:pt>
                <c:pt idx="15">
                  <c:v>54.96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A7-43AE-97C1-19142C3DA56D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All'!$T$3,'HW - All'!$T$6,'HW - All'!$T$9,'HW - All'!$T$12,'HW - All'!$T$15,'HW - All'!$T$18,'HW - All'!$T$21,'HW - All'!$T$24,'HW - All'!$T$27,'HW - All'!$T$30,'HW - All'!$T$33,'HW - All'!$T$36,'HW - All'!$T$39,'HW - All'!$T$42,'HW - All'!$T$45,'HW - All'!$T$48)</c:f>
              <c:numCache>
                <c:formatCode>\$#,##0.00</c:formatCode>
                <c:ptCount val="16"/>
                <c:pt idx="0">
                  <c:v>1066.77</c:v>
                </c:pt>
                <c:pt idx="1">
                  <c:v>3564.99</c:v>
                </c:pt>
                <c:pt idx="2">
                  <c:v>23108.62</c:v>
                </c:pt>
                <c:pt idx="3">
                  <c:v>2710.01</c:v>
                </c:pt>
                <c:pt idx="4">
                  <c:v>182.72</c:v>
                </c:pt>
                <c:pt idx="5">
                  <c:v>331.16</c:v>
                </c:pt>
                <c:pt idx="6">
                  <c:v>81.760000000000005</c:v>
                </c:pt>
                <c:pt idx="7">
                  <c:v>166.53</c:v>
                </c:pt>
                <c:pt idx="8">
                  <c:v>97.22</c:v>
                </c:pt>
                <c:pt idx="9">
                  <c:v>0</c:v>
                </c:pt>
                <c:pt idx="10">
                  <c:v>0</c:v>
                </c:pt>
                <c:pt idx="11">
                  <c:v>194.25</c:v>
                </c:pt>
                <c:pt idx="12">
                  <c:v>3047.93</c:v>
                </c:pt>
                <c:pt idx="13">
                  <c:v>0</c:v>
                </c:pt>
                <c:pt idx="14">
                  <c:v>3466.33</c:v>
                </c:pt>
                <c:pt idx="15">
                  <c:v>74.95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A7-43AE-97C1-19142C3DA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All'!$G$4,'HW - All'!$G$7,'HW - All'!$G$10,'HW - All'!$G$13,'HW - All'!$G$16,'HW - All'!$G$19,'HW - All'!$G$22,'HW - All'!$G$25,'HW - All'!$G$28,'HW - All'!$G$31,'HW - All'!$G$34,'HW - All'!$G$37,'HW - All'!$G$40,'HW - All'!$G$43,'HW - All'!$G$46,'HW - All'!$G$49)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7.0000000000000007E-2</c:v>
                </c:pt>
                <c:pt idx="3">
                  <c:v>1.99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A0-4C6F-B2C2-82E3E6CF33F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All'!$M$4,'HW - All'!$M$7,'HW - All'!$M$10,'HW - All'!$M$13,'HW - All'!$M$16,'HW - All'!$M$19,'HW - All'!$M$22,'HW - All'!$M$25,'HW - All'!$M$28,'HW - All'!$M$31,'HW - All'!$M$34,'HW - All'!$M$37,'HW - All'!$M$40,'HW - All'!$M$43,'HW - All'!$M$46,'HW - All'!$M$49)</c:f>
              <c:numCache>
                <c:formatCode>\$#,##0.00</c:formatCode>
                <c:ptCount val="16"/>
                <c:pt idx="0">
                  <c:v>8.94</c:v>
                </c:pt>
                <c:pt idx="1">
                  <c:v>0</c:v>
                </c:pt>
                <c:pt idx="2">
                  <c:v>0</c:v>
                </c:pt>
                <c:pt idx="3">
                  <c:v>29.99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16.48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A0-4C6F-B2C2-82E3E6CF33F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All'!$T$4,'HW - All'!$T$7,'HW - All'!$T$10,'HW - All'!$T$13,'HW - All'!$T$16,'HW - All'!$T$19,'HW - All'!$T$22,'HW - All'!$T$25,'HW - All'!$T$28,'HW - All'!$T$31,'HW - All'!$T$34,'HW - All'!$T$37,'HW - All'!$T$40,'HW - All'!$T$43,'HW - All'!$T$46,'HW - All'!$T$49)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A0-4C6F-B2C2-82E3E6CF33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All'!$I$2,'HW - All'!$I$5,'HW - All'!$I$8,'HW - All'!$I$11,'HW - All'!$I$14,'HW - All'!$I$17,'HW - All'!$I$20,'HW - All'!$I$23,'HW - All'!$I$26,'HW - All'!$I$29,'HW - All'!$I$32,'HW - All'!$I$35,'HW - All'!$I$38,'HW - All'!$I$41,'HW - All'!$I$44,'HW - All'!$I$47)</c:f>
              <c:numCache>
                <c:formatCode>0.0%</c:formatCode>
                <c:ptCount val="16"/>
                <c:pt idx="0">
                  <c:v>0.40100000000000002</c:v>
                </c:pt>
                <c:pt idx="1">
                  <c:v>0.309</c:v>
                </c:pt>
                <c:pt idx="2">
                  <c:v>0.35099999999999998</c:v>
                </c:pt>
                <c:pt idx="3">
                  <c:v>0.28299999999999997</c:v>
                </c:pt>
                <c:pt idx="4">
                  <c:v>0.43099999999999999</c:v>
                </c:pt>
                <c:pt idx="5">
                  <c:v>0.46400000000000002</c:v>
                </c:pt>
                <c:pt idx="6">
                  <c:v>0.39200000000000002</c:v>
                </c:pt>
                <c:pt idx="7">
                  <c:v>0.371</c:v>
                </c:pt>
                <c:pt idx="8">
                  <c:v>0.39100000000000001</c:v>
                </c:pt>
                <c:pt idx="9">
                  <c:v>0.45200000000000001</c:v>
                </c:pt>
                <c:pt idx="10">
                  <c:v>0</c:v>
                </c:pt>
                <c:pt idx="11">
                  <c:v>0.40100000000000002</c:v>
                </c:pt>
                <c:pt idx="12">
                  <c:v>0.27300000000000002</c:v>
                </c:pt>
                <c:pt idx="13">
                  <c:v>0</c:v>
                </c:pt>
                <c:pt idx="14">
                  <c:v>0.254</c:v>
                </c:pt>
                <c:pt idx="15">
                  <c:v>-8.5000000000000006E-2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36-4E16-874B-39B9D58B940E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All'!$O$2,'HW - All'!$O$5,'HW - All'!$O$8,'HW - All'!$O$11,'HW - All'!$O$14,'HW - All'!$O$17,'HW - All'!$O$20,'HW - All'!$O$23,'HW - All'!$O$26,'HW - All'!$O$29,'HW - All'!$O$32,'HW - All'!$O$35,'HW - All'!$O$38,'HW - All'!$O$41,'HW - All'!$O$44,'HW - All'!$O$47)</c:f>
              <c:numCache>
                <c:formatCode>0.0%</c:formatCode>
                <c:ptCount val="16"/>
                <c:pt idx="0">
                  <c:v>0.38100000000000001</c:v>
                </c:pt>
                <c:pt idx="1">
                  <c:v>0.32900000000000001</c:v>
                </c:pt>
                <c:pt idx="2">
                  <c:v>0.45700000000000002</c:v>
                </c:pt>
                <c:pt idx="3">
                  <c:v>0.309</c:v>
                </c:pt>
                <c:pt idx="4">
                  <c:v>0.434</c:v>
                </c:pt>
                <c:pt idx="5">
                  <c:v>0.46600000000000003</c:v>
                </c:pt>
                <c:pt idx="6">
                  <c:v>0.441</c:v>
                </c:pt>
                <c:pt idx="7">
                  <c:v>0.38200000000000001</c:v>
                </c:pt>
                <c:pt idx="8">
                  <c:v>0.39600000000000002</c:v>
                </c:pt>
                <c:pt idx="9">
                  <c:v>0.44600000000000001</c:v>
                </c:pt>
                <c:pt idx="10">
                  <c:v>0.25600000000000001</c:v>
                </c:pt>
                <c:pt idx="11">
                  <c:v>0.38400000000000001</c:v>
                </c:pt>
                <c:pt idx="12">
                  <c:v>0.30399999999999999</c:v>
                </c:pt>
                <c:pt idx="13">
                  <c:v>0</c:v>
                </c:pt>
                <c:pt idx="14">
                  <c:v>0.32800000000000001</c:v>
                </c:pt>
                <c:pt idx="1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36-4E16-874B-39B9D58B940E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All'!$V$2,'HW - All'!$V$5,'HW - All'!$V$8,'HW - All'!$V$11,'HW - All'!$V$14,'HW - All'!$V$17,'HW - All'!$V$20,'HW - All'!$V$23,'HW - All'!$V$26,'HW - All'!$V$29,'HW - All'!$V$32,'HW - All'!$V$35,'HW - All'!$V$38,'HW - All'!$V$41,'HW - All'!$V$44,'HW - All'!$V$47)</c:f>
              <c:numCache>
                <c:formatCode>0.0%</c:formatCode>
                <c:ptCount val="16"/>
                <c:pt idx="0">
                  <c:v>0.40100000000000002</c:v>
                </c:pt>
                <c:pt idx="1">
                  <c:v>0.33300000000000002</c:v>
                </c:pt>
                <c:pt idx="2">
                  <c:v>0.46500000000000002</c:v>
                </c:pt>
                <c:pt idx="3">
                  <c:v>0.38200000000000001</c:v>
                </c:pt>
                <c:pt idx="4">
                  <c:v>0.41399999999999998</c:v>
                </c:pt>
                <c:pt idx="5">
                  <c:v>0.504</c:v>
                </c:pt>
                <c:pt idx="6">
                  <c:v>0.441</c:v>
                </c:pt>
                <c:pt idx="7">
                  <c:v>0.38700000000000001</c:v>
                </c:pt>
                <c:pt idx="8">
                  <c:v>0.43099999999999999</c:v>
                </c:pt>
                <c:pt idx="9">
                  <c:v>0.59599999999999997</c:v>
                </c:pt>
                <c:pt idx="10">
                  <c:v>0.29899999999999999</c:v>
                </c:pt>
                <c:pt idx="11">
                  <c:v>0.22600000000000001</c:v>
                </c:pt>
                <c:pt idx="12">
                  <c:v>0.26700000000000002</c:v>
                </c:pt>
                <c:pt idx="13">
                  <c:v>0</c:v>
                </c:pt>
                <c:pt idx="14">
                  <c:v>0.34399999999999997</c:v>
                </c:pt>
                <c:pt idx="15">
                  <c:v>0.28799999999999998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36-4E16-874B-39B9D58B9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All'!$I$3,'HW - All'!$I$6,'HW - All'!$I$9,'HW - All'!$I$12,'HW - All'!$I$15,'HW - All'!$I$18,'HW - All'!$I$21,'HW - All'!$I$24,'HW - All'!$I$27,'HW - All'!$I$30,'HW - All'!$I$33,'HW - All'!$I$36,'HW - All'!$I$39,'HW - All'!$I$42,'HW - All'!$I$45,'HW - All'!$I$48)</c:f>
              <c:numCache>
                <c:formatCode>0.0%</c:formatCode>
                <c:ptCount val="16"/>
                <c:pt idx="0">
                  <c:v>0.38</c:v>
                </c:pt>
                <c:pt idx="1">
                  <c:v>0.36599999999999999</c:v>
                </c:pt>
                <c:pt idx="2">
                  <c:v>0.39800000000000002</c:v>
                </c:pt>
                <c:pt idx="3">
                  <c:v>0.248</c:v>
                </c:pt>
                <c:pt idx="4">
                  <c:v>0.443</c:v>
                </c:pt>
                <c:pt idx="5">
                  <c:v>0.42299999999999999</c:v>
                </c:pt>
                <c:pt idx="6">
                  <c:v>0.42699999999999999</c:v>
                </c:pt>
                <c:pt idx="7">
                  <c:v>0.28799999999999998</c:v>
                </c:pt>
                <c:pt idx="8">
                  <c:v>0.27200000000000002</c:v>
                </c:pt>
                <c:pt idx="9">
                  <c:v>0.45900000000000002</c:v>
                </c:pt>
                <c:pt idx="10">
                  <c:v>0</c:v>
                </c:pt>
                <c:pt idx="11">
                  <c:v>0.39700000000000002</c:v>
                </c:pt>
                <c:pt idx="12">
                  <c:v>0.30599999999999999</c:v>
                </c:pt>
                <c:pt idx="13">
                  <c:v>0</c:v>
                </c:pt>
                <c:pt idx="14">
                  <c:v>0.186</c:v>
                </c:pt>
                <c:pt idx="15">
                  <c:v>0.14799999999999999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1-483A-B7FB-0FFFDB573B9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All'!$O$3,'HW - All'!$O$6,'HW - All'!$O$9,'HW - All'!$O$12,'HW - All'!$O$15,'HW - All'!$O$18,'HW - All'!$O$21,'HW - All'!$O$24,'HW - All'!$O$27,'HW - All'!$O$30,'HW - All'!$O$33,'HW - All'!$O$36,'HW - All'!$O$39,'HW - All'!$O$42,'HW - All'!$O$45,'HW - All'!$O$48)</c:f>
              <c:numCache>
                <c:formatCode>0.0%</c:formatCode>
                <c:ptCount val="16"/>
                <c:pt idx="0">
                  <c:v>0.39700000000000002</c:v>
                </c:pt>
                <c:pt idx="1">
                  <c:v>0.34499999999999997</c:v>
                </c:pt>
                <c:pt idx="2">
                  <c:v>0.42</c:v>
                </c:pt>
                <c:pt idx="3">
                  <c:v>0.28100000000000003</c:v>
                </c:pt>
                <c:pt idx="4">
                  <c:v>0.373</c:v>
                </c:pt>
                <c:pt idx="5">
                  <c:v>0.58699999999999997</c:v>
                </c:pt>
                <c:pt idx="6">
                  <c:v>0.41499999999999998</c:v>
                </c:pt>
                <c:pt idx="7">
                  <c:v>0.36499999999999999</c:v>
                </c:pt>
                <c:pt idx="8">
                  <c:v>0.4</c:v>
                </c:pt>
                <c:pt idx="9">
                  <c:v>0.36199999999999999</c:v>
                </c:pt>
                <c:pt idx="10">
                  <c:v>0</c:v>
                </c:pt>
                <c:pt idx="11">
                  <c:v>0.38900000000000001</c:v>
                </c:pt>
                <c:pt idx="12">
                  <c:v>0.27700000000000002</c:v>
                </c:pt>
                <c:pt idx="13">
                  <c:v>0</c:v>
                </c:pt>
                <c:pt idx="14">
                  <c:v>0.317</c:v>
                </c:pt>
                <c:pt idx="15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91-483A-B7FB-0FFFDB573B9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All'!$V$3,'HW - All'!$V$6,'HW - All'!$V$9,'HW - All'!$V$12,'HW - All'!$V$15,'HW - All'!$V$18,'HW - All'!$V$21,'HW - All'!$V$24,'HW - All'!$V$27,'HW - All'!$V$30,'HW - All'!$V$33,'HW - All'!$V$36,'HW - All'!$V$39,'HW - All'!$V$42,'HW - All'!$V$45,'HW - All'!$V$48)</c:f>
              <c:numCache>
                <c:formatCode>0.0%</c:formatCode>
                <c:ptCount val="16"/>
                <c:pt idx="0">
                  <c:v>0.42099999999999999</c:v>
                </c:pt>
                <c:pt idx="1">
                  <c:v>0.32100000000000001</c:v>
                </c:pt>
                <c:pt idx="2">
                  <c:v>0.40699999999999997</c:v>
                </c:pt>
                <c:pt idx="3">
                  <c:v>0.30299999999999999</c:v>
                </c:pt>
                <c:pt idx="4">
                  <c:v>0.41399999999999998</c:v>
                </c:pt>
                <c:pt idx="5">
                  <c:v>0.34</c:v>
                </c:pt>
                <c:pt idx="6">
                  <c:v>0.19900000000000001</c:v>
                </c:pt>
                <c:pt idx="7">
                  <c:v>0.76100000000000001</c:v>
                </c:pt>
                <c:pt idx="8">
                  <c:v>0.34399999999999997</c:v>
                </c:pt>
                <c:pt idx="9">
                  <c:v>0</c:v>
                </c:pt>
                <c:pt idx="10">
                  <c:v>0</c:v>
                </c:pt>
                <c:pt idx="11">
                  <c:v>0.439</c:v>
                </c:pt>
                <c:pt idx="12">
                  <c:v>0.30399999999999999</c:v>
                </c:pt>
                <c:pt idx="13">
                  <c:v>0</c:v>
                </c:pt>
                <c:pt idx="14">
                  <c:v>0.17399999999999999</c:v>
                </c:pt>
                <c:pt idx="15">
                  <c:v>0.371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91-483A-B7FB-0FFFDB573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</a:t>
            </a:r>
            <a:r>
              <a:rPr lang="en-US" baseline="0"/>
              <a:t> Store</a:t>
            </a:r>
            <a:r>
              <a:rPr lang="en-US"/>
              <a:t> GP%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All'!$I$4,'HW - All'!$I$7,'HW - All'!$I$10,'HW - All'!$I$13,'HW - All'!$I$16,'HW - All'!$I$19,'HW - All'!$I$22,'HW - All'!$I$25,'HW - All'!$I$28,'HW - All'!$I$31,'HW - All'!$I$34,'HW - All'!$I$37,'HW - All'!$I$40,'HW - All'!$I$43,'HW - All'!$I$46,'HW - All'!$I$49)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0.14299999999999999</c:v>
                </c:pt>
                <c:pt idx="3">
                  <c:v>0.46200000000000002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7-45D6-9F32-976FF4193428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All'!$O$4,'HW - All'!$O$7,'HW - All'!$O$10,'HW - All'!$O$13,'HW - All'!$O$16,'HW - All'!$O$19,'HW - All'!$O$22,'HW - All'!$O$25,'HW - All'!$O$28,'HW - All'!$O$31,'HW - All'!$O$34,'HW - All'!$O$37,'HW - All'!$O$40,'HW - All'!$O$43,'HW - All'!$O$46,'HW - All'!$O$49)</c:f>
              <c:numCache>
                <c:formatCode>0.0%</c:formatCode>
                <c:ptCount val="16"/>
                <c:pt idx="0">
                  <c:v>0.83399999999999996</c:v>
                </c:pt>
                <c:pt idx="1">
                  <c:v>0</c:v>
                </c:pt>
                <c:pt idx="2">
                  <c:v>0</c:v>
                </c:pt>
                <c:pt idx="3">
                  <c:v>0.191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7-45D6-9F32-976FF4193428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All'!$V$4,'HW - All'!$V$7,'HW - All'!$V$10,'HW - All'!$V$13,'HW - All'!$V$16,'HW - All'!$V$19,'HW - All'!$V$22,'HW - All'!$V$25,'HW - All'!$V$28,'HW - All'!$V$31,'HW - All'!$V$34,'HW - All'!$V$37,'HW - All'!$V$40,'HW - All'!$V$43,'HW - All'!$V$46,'HW - All'!$V$49)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7-45D6-9F32-976FF4193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All'!$H$2,'HW - All'!$H$5,'HW - All'!$H$8,'HW - All'!$H$11,'HW - All'!$H$14,'HW - All'!$H$17,'HW - All'!$H$20,'HW - All'!$H$23,'HW - All'!$H$26,'HW - All'!$H$29,'HW - All'!$H$32,'HW - All'!$H$35,'HW - All'!$H$38,'HW - All'!$H$41,'HW - All'!$H$44,'HW - All'!$H$47)</c:f>
              <c:numCache>
                <c:formatCode>\$#,##0.00</c:formatCode>
                <c:ptCount val="16"/>
                <c:pt idx="0">
                  <c:v>3085.77</c:v>
                </c:pt>
                <c:pt idx="1">
                  <c:v>7381.4</c:v>
                </c:pt>
                <c:pt idx="2">
                  <c:v>24023.4</c:v>
                </c:pt>
                <c:pt idx="3">
                  <c:v>6237.74</c:v>
                </c:pt>
                <c:pt idx="4">
                  <c:v>2372.09</c:v>
                </c:pt>
                <c:pt idx="5">
                  <c:v>1420.18</c:v>
                </c:pt>
                <c:pt idx="6">
                  <c:v>1406.84</c:v>
                </c:pt>
                <c:pt idx="7">
                  <c:v>1676.12</c:v>
                </c:pt>
                <c:pt idx="8">
                  <c:v>2217.33</c:v>
                </c:pt>
                <c:pt idx="9">
                  <c:v>323.12</c:v>
                </c:pt>
                <c:pt idx="10">
                  <c:v>0</c:v>
                </c:pt>
                <c:pt idx="11">
                  <c:v>299.29000000000002</c:v>
                </c:pt>
                <c:pt idx="12">
                  <c:v>880.18</c:v>
                </c:pt>
                <c:pt idx="13">
                  <c:v>0</c:v>
                </c:pt>
                <c:pt idx="14">
                  <c:v>999.71</c:v>
                </c:pt>
                <c:pt idx="15">
                  <c:v>-43.16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A5-4008-BB08-FF00DFF7BA53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All'!$N$2,'HW - All'!$N$5,'HW - All'!$N$8,'HW - All'!$N$11,'HW - All'!$N$14,'HW - All'!$N$17,'HW - All'!$N$20,'HW - All'!$N$23,'HW - All'!$N$26,'HW - All'!$N$29,'HW - All'!$N$32,'HW - All'!$N$35,'HW - All'!$N$38,'HW - All'!$N$41,'HW - All'!$N$44,'HW - All'!$N$47)</c:f>
              <c:numCache>
                <c:formatCode>\$#,##0.00</c:formatCode>
                <c:ptCount val="16"/>
                <c:pt idx="0">
                  <c:v>3077.15</c:v>
                </c:pt>
                <c:pt idx="1">
                  <c:v>8376.16</c:v>
                </c:pt>
                <c:pt idx="2">
                  <c:v>21663.89</c:v>
                </c:pt>
                <c:pt idx="3">
                  <c:v>7532.5</c:v>
                </c:pt>
                <c:pt idx="4">
                  <c:v>1593.53</c:v>
                </c:pt>
                <c:pt idx="5">
                  <c:v>784.62</c:v>
                </c:pt>
                <c:pt idx="6">
                  <c:v>723.65</c:v>
                </c:pt>
                <c:pt idx="7">
                  <c:v>1179.5899999999999</c:v>
                </c:pt>
                <c:pt idx="8">
                  <c:v>1113.47</c:v>
                </c:pt>
                <c:pt idx="9">
                  <c:v>179.93</c:v>
                </c:pt>
                <c:pt idx="10">
                  <c:v>39.659999999999997</c:v>
                </c:pt>
                <c:pt idx="11">
                  <c:v>319.25</c:v>
                </c:pt>
                <c:pt idx="12">
                  <c:v>883.09</c:v>
                </c:pt>
                <c:pt idx="13">
                  <c:v>0</c:v>
                </c:pt>
                <c:pt idx="14">
                  <c:v>870.4</c:v>
                </c:pt>
                <c:pt idx="15">
                  <c:v>155.21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A5-4008-BB08-FF00DFF7BA53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All'!$U$2,'HW - All'!$U$5,'HW - All'!$U$8,'HW - All'!$U$11,'HW - All'!$U$14,'HW - All'!$U$17,'HW - All'!$U$20,'HW - All'!$U$23,'HW - All'!$U$26,'HW - All'!$U$29,'HW - All'!$U$32,'HW - All'!$U$35,'HW - All'!$U$38,'HW - All'!$U$41,'HW - All'!$U$44,'HW - All'!$U$47)</c:f>
              <c:numCache>
                <c:formatCode>\$#,##0.00</c:formatCode>
                <c:ptCount val="16"/>
                <c:pt idx="0">
                  <c:v>3680.78</c:v>
                </c:pt>
                <c:pt idx="1">
                  <c:v>9607.7999999999993</c:v>
                </c:pt>
                <c:pt idx="2">
                  <c:v>27874.97</c:v>
                </c:pt>
                <c:pt idx="3">
                  <c:v>9049.83</c:v>
                </c:pt>
                <c:pt idx="4">
                  <c:v>1880.65</c:v>
                </c:pt>
                <c:pt idx="5">
                  <c:v>873.45</c:v>
                </c:pt>
                <c:pt idx="6">
                  <c:v>634.79</c:v>
                </c:pt>
                <c:pt idx="7">
                  <c:v>1162.9000000000001</c:v>
                </c:pt>
                <c:pt idx="8">
                  <c:v>781.99</c:v>
                </c:pt>
                <c:pt idx="9">
                  <c:v>9.74</c:v>
                </c:pt>
                <c:pt idx="10">
                  <c:v>46.84</c:v>
                </c:pt>
                <c:pt idx="11">
                  <c:v>142.25</c:v>
                </c:pt>
                <c:pt idx="12">
                  <c:v>580.05999999999995</c:v>
                </c:pt>
                <c:pt idx="13">
                  <c:v>0</c:v>
                </c:pt>
                <c:pt idx="14">
                  <c:v>2441.6</c:v>
                </c:pt>
                <c:pt idx="15">
                  <c:v>379.6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A5-4008-BB08-FF00DFF7B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GP$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All'!$H$3,'HW - All'!$H$6,'HW - All'!$H$9,'HW - All'!$H$12,'HW - All'!$H$15,'HW - All'!$H$18,'HW - All'!$H$21,'HW - All'!$H$24,'HW - All'!$H$27,'HW - All'!$H$30,'HW - All'!$H$33,'HW - All'!$H$36,'HW - All'!$H$39,'HW - All'!$H$42,'HW - All'!$H$45,'HW - All'!$H$48)</c:f>
              <c:numCache>
                <c:formatCode>\$#,##0.00</c:formatCode>
                <c:ptCount val="16"/>
                <c:pt idx="0">
                  <c:v>439.19</c:v>
                </c:pt>
                <c:pt idx="1">
                  <c:v>856.36</c:v>
                </c:pt>
                <c:pt idx="2">
                  <c:v>5419.49</c:v>
                </c:pt>
                <c:pt idx="3">
                  <c:v>908.15</c:v>
                </c:pt>
                <c:pt idx="4">
                  <c:v>286.91000000000003</c:v>
                </c:pt>
                <c:pt idx="5">
                  <c:v>352.76</c:v>
                </c:pt>
                <c:pt idx="6">
                  <c:v>120.23</c:v>
                </c:pt>
                <c:pt idx="7">
                  <c:v>98.32</c:v>
                </c:pt>
                <c:pt idx="8">
                  <c:v>256.91000000000003</c:v>
                </c:pt>
                <c:pt idx="9">
                  <c:v>18.510000000000002</c:v>
                </c:pt>
                <c:pt idx="10">
                  <c:v>0</c:v>
                </c:pt>
                <c:pt idx="11">
                  <c:v>99.81</c:v>
                </c:pt>
                <c:pt idx="12">
                  <c:v>556.47</c:v>
                </c:pt>
                <c:pt idx="13">
                  <c:v>0</c:v>
                </c:pt>
                <c:pt idx="14">
                  <c:v>516.74</c:v>
                </c:pt>
                <c:pt idx="15">
                  <c:v>161.88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B-4521-B8AD-6FC30DCC98BD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All'!$N$3,'HW - All'!$N$6,'HW - All'!$N$9,'HW - All'!$N$12,'HW - All'!$N$15,'HW - All'!$N$18,'HW - All'!$N$21,'HW - All'!$N$24,'HW - All'!$N$27,'HW - All'!$N$30,'HW - All'!$N$33,'HW - All'!$N$36,'HW - All'!$N$39,'HW - All'!$N$42,'HW - All'!$N$45,'HW - All'!$N$48)</c:f>
              <c:numCache>
                <c:formatCode>\$#,##0.00</c:formatCode>
                <c:ptCount val="16"/>
                <c:pt idx="0">
                  <c:v>529.08000000000004</c:v>
                </c:pt>
                <c:pt idx="1">
                  <c:v>978.91</c:v>
                </c:pt>
                <c:pt idx="2">
                  <c:v>7363.98</c:v>
                </c:pt>
                <c:pt idx="3">
                  <c:v>690.8</c:v>
                </c:pt>
                <c:pt idx="4">
                  <c:v>142.78</c:v>
                </c:pt>
                <c:pt idx="5">
                  <c:v>271.27999999999997</c:v>
                </c:pt>
                <c:pt idx="6">
                  <c:v>113.81</c:v>
                </c:pt>
                <c:pt idx="7">
                  <c:v>68.62</c:v>
                </c:pt>
                <c:pt idx="8">
                  <c:v>262.64999999999998</c:v>
                </c:pt>
                <c:pt idx="9">
                  <c:v>30.86</c:v>
                </c:pt>
                <c:pt idx="10">
                  <c:v>0</c:v>
                </c:pt>
                <c:pt idx="11">
                  <c:v>205.96</c:v>
                </c:pt>
                <c:pt idx="12">
                  <c:v>215.38</c:v>
                </c:pt>
                <c:pt idx="13">
                  <c:v>0</c:v>
                </c:pt>
                <c:pt idx="14">
                  <c:v>749.92</c:v>
                </c:pt>
                <c:pt idx="15">
                  <c:v>36.799999999999997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B-4521-B8AD-6FC30DCC98BD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All'!$U$3,'HW - All'!$U$6,'HW - All'!$U$9,'HW - All'!$U$12,'HW - All'!$U$15,'HW - All'!$U$18,'HW - All'!$U$21,'HW - All'!$U$24,'HW - All'!$U$27,'HW - All'!$U$30,'HW - All'!$U$33,'HW - All'!$U$36,'HW - All'!$U$39,'HW - All'!$U$42,'HW - All'!$U$45,'HW - All'!$U$48)</c:f>
              <c:numCache>
                <c:formatCode>\$#,##0.00</c:formatCode>
                <c:ptCount val="16"/>
                <c:pt idx="0">
                  <c:v>449.32</c:v>
                </c:pt>
                <c:pt idx="1">
                  <c:v>1145.3699999999999</c:v>
                </c:pt>
                <c:pt idx="2">
                  <c:v>9415.4599999999991</c:v>
                </c:pt>
                <c:pt idx="3">
                  <c:v>820.65</c:v>
                </c:pt>
                <c:pt idx="4">
                  <c:v>75.709999999999994</c:v>
                </c:pt>
                <c:pt idx="5">
                  <c:v>112.64</c:v>
                </c:pt>
                <c:pt idx="6">
                  <c:v>16.25</c:v>
                </c:pt>
                <c:pt idx="7">
                  <c:v>126.75</c:v>
                </c:pt>
                <c:pt idx="8">
                  <c:v>33.47</c:v>
                </c:pt>
                <c:pt idx="9">
                  <c:v>0</c:v>
                </c:pt>
                <c:pt idx="10">
                  <c:v>0</c:v>
                </c:pt>
                <c:pt idx="11">
                  <c:v>85.37</c:v>
                </c:pt>
                <c:pt idx="12">
                  <c:v>925.07</c:v>
                </c:pt>
                <c:pt idx="13">
                  <c:v>0</c:v>
                </c:pt>
                <c:pt idx="14">
                  <c:v>602.34</c:v>
                </c:pt>
                <c:pt idx="15">
                  <c:v>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6B-4521-B8AD-6FC30DCC9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GP$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All'!$H$4,'HW - All'!$H$7,'HW - All'!$H$10,'HW - All'!$H$13,'HW - All'!$H$16,'HW - All'!$H$19,'HW - All'!$H$22,'HW - All'!$H$25,'HW - All'!$H$28,'HW - All'!$H$31,'HW - All'!$H$34,'HW - All'!$H$37,'HW - All'!$H$40,'HW - All'!$H$43,'HW - All'!$H$46,'HW - All'!$H$49)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0.92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D2-41E6-BA5C-85CE16249C01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All'!$N$4,'HW - All'!$N$7,'HW - All'!$N$10,'HW - All'!$N$13,'HW - All'!$N$16,'HW - All'!$N$19,'HW - All'!$N$22,'HW - All'!$N$25,'HW - All'!$N$28,'HW - All'!$N$31,'HW - All'!$N$34,'HW - All'!$N$37,'HW - All'!$N$40,'HW - All'!$N$43,'HW - All'!$N$46,'HW - All'!$N$49)</c:f>
              <c:numCache>
                <c:formatCode>\$#,##0.00</c:formatCode>
                <c:ptCount val="16"/>
                <c:pt idx="0">
                  <c:v>7.46</c:v>
                </c:pt>
                <c:pt idx="1">
                  <c:v>0</c:v>
                </c:pt>
                <c:pt idx="2">
                  <c:v>0</c:v>
                </c:pt>
                <c:pt idx="3">
                  <c:v>5.72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D2-41E6-BA5C-85CE16249C01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All'!$U$4,'HW - All'!$U$7,'HW - All'!$U$10,'HW - All'!$U$13,'HW - All'!$U$16,'HW - All'!$U$19,'HW - All'!$U$22,'HW - All'!$U$25,'HW - All'!$U$28,'HW - All'!$U$31,'HW - All'!$U$34,'HW - All'!$U$37,'HW - All'!$U$40,'HW - All'!$U$43,'HW - All'!$U$46,'HW - All'!$U$49)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D2-41E6-BA5C-85CE16249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All'!$B$5,'P - All'!$B$8)</c:f>
              <c:strCache>
                <c:ptCount val="3"/>
                <c:pt idx="0">
                  <c:v>30 PAINT &amp; SUNDRIES</c:v>
                </c:pt>
                <c:pt idx="1">
                  <c:v>SP SPECIAL ORDER PAINT</c:v>
                </c:pt>
                <c:pt idx="2">
                  <c:v>XP DISCONTINUED PAINT</c:v>
                </c:pt>
              </c:strCache>
            </c:strRef>
          </c:cat>
          <c:val>
            <c:numRef>
              <c:f>('P - All'!$D$2,'P - All'!$D$5,'P - All'!$D$8)</c:f>
              <c:numCache>
                <c:formatCode>\$#,##0.00</c:formatCode>
                <c:ptCount val="3"/>
                <c:pt idx="0">
                  <c:v>236553.78</c:v>
                </c:pt>
                <c:pt idx="1">
                  <c:v>1345.92</c:v>
                </c:pt>
                <c:pt idx="2">
                  <c:v>4328.4399999999996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F383-440F-8E63-DED2DBCF7C44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All'!$B$5,'P - All'!$B$8)</c:f>
              <c:strCache>
                <c:ptCount val="3"/>
                <c:pt idx="0">
                  <c:v>30 PAINT &amp; SUNDRIES</c:v>
                </c:pt>
                <c:pt idx="1">
                  <c:v>SP SPECIAL ORDER PAINT</c:v>
                </c:pt>
                <c:pt idx="2">
                  <c:v>XP DISCONTINUED PAINT</c:v>
                </c:pt>
              </c:strCache>
            </c:strRef>
          </c:cat>
          <c:val>
            <c:numRef>
              <c:f>('P - All'!$J$2,'P - All'!$J$5,'P - All'!$J$8)</c:f>
              <c:numCache>
                <c:formatCode>\$#,##0.00</c:formatCode>
                <c:ptCount val="3"/>
                <c:pt idx="0">
                  <c:v>245036.22</c:v>
                </c:pt>
                <c:pt idx="1">
                  <c:v>1194.08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F383-440F-8E63-DED2DBCF7C44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All'!$B$5,'P - All'!$B$8)</c:f>
              <c:strCache>
                <c:ptCount val="3"/>
                <c:pt idx="0">
                  <c:v>30 PAINT &amp; SUNDRIES</c:v>
                </c:pt>
                <c:pt idx="1">
                  <c:v>SP SPECIAL ORDER PAINT</c:v>
                </c:pt>
                <c:pt idx="2">
                  <c:v>XP DISCONTINUED PAINT</c:v>
                </c:pt>
              </c:strCache>
            </c:strRef>
          </c:cat>
          <c:val>
            <c:numRef>
              <c:f>('P - All'!$Q$2,'P - All'!$Q$5,'P - All'!$Q$8)</c:f>
              <c:numCache>
                <c:formatCode>\$#,##0.00</c:formatCode>
                <c:ptCount val="3"/>
                <c:pt idx="0">
                  <c:v>223706.26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F383-440F-8E63-DED2DBCF7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All'!$D$3,'P - All'!$D$9)</c:f>
              <c:numCache>
                <c:formatCode>\$#,##0.00</c:formatCode>
                <c:ptCount val="2"/>
                <c:pt idx="0">
                  <c:v>14765.99</c:v>
                </c:pt>
                <c:pt idx="1">
                  <c:v>392.82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45-45B7-A097-40D0390B8F4E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All'!$J$3,'P - All'!$J$9)</c:f>
              <c:numCache>
                <c:formatCode>\$#,##0.00</c:formatCode>
                <c:ptCount val="2"/>
                <c:pt idx="0">
                  <c:v>24031.93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45-45B7-A097-40D0390B8F4E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All'!$Q$3,'P - All'!$Q$9)</c:f>
              <c:numCache>
                <c:formatCode>\$#,##0.00</c:formatCode>
                <c:ptCount val="2"/>
                <c:pt idx="0">
                  <c:v>68740.77</c:v>
                </c:pt>
                <c:pt idx="1">
                  <c:v>46.4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45-45B7-A097-40D0390B8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YTD Sales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Dashboard'!$I$3,'January 2026 - Dashboard'!$I$6,'January 2026 - Dashboard'!$I$9,'January 2026 - Dashboard'!$I$12,'January 2026 - Dashboard'!$I$15,'January 2026 - Dashboard'!$I$18,'January 2026 - Dashboard'!$I$21)</c:f>
              <c:numCache>
                <c:formatCode>"$"#,##0.00</c:formatCode>
                <c:ptCount val="7"/>
                <c:pt idx="0">
                  <c:v>148986.6</c:v>
                </c:pt>
                <c:pt idx="1">
                  <c:v>486781.49000000005</c:v>
                </c:pt>
                <c:pt idx="2">
                  <c:v>134432.84</c:v>
                </c:pt>
                <c:pt idx="3">
                  <c:v>183526.12</c:v>
                </c:pt>
                <c:pt idx="4">
                  <c:v>112230.19</c:v>
                </c:pt>
                <c:pt idx="5">
                  <c:v>25313.54</c:v>
                </c:pt>
                <c:pt idx="6">
                  <c:v>1091270.78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24-4A0B-968C-8369EEA935D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Dashboard'!$U$3,'January 2026 - Dashboard'!$U$6,'January 2026 - Dashboard'!$U$9,'January 2026 - Dashboard'!$U$12,'January 2026 - Dashboard'!$U$15,'January 2026 - Dashboard'!$U$18,'January 2026 - Dashboard'!$U$21)</c:f>
              <c:numCache>
                <c:formatCode>"$"#,##0.00</c:formatCode>
                <c:ptCount val="7"/>
                <c:pt idx="0">
                  <c:v>99407.260000000009</c:v>
                </c:pt>
                <c:pt idx="1">
                  <c:v>389601.79000000004</c:v>
                </c:pt>
                <c:pt idx="2">
                  <c:v>256770.53000000003</c:v>
                </c:pt>
                <c:pt idx="3">
                  <c:v>155499.35999999996</c:v>
                </c:pt>
                <c:pt idx="4">
                  <c:v>115847.34</c:v>
                </c:pt>
                <c:pt idx="5">
                  <c:v>10822.62</c:v>
                </c:pt>
                <c:pt idx="6">
                  <c:v>1027948.9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24-4A0B-968C-8369EEA935D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Dashboard'!$AH$3,'January 2026 - Dashboard'!$AH$6,'January 2026 - Dashboard'!$AH$9,'January 2026 - Dashboard'!$AH$12,'January 2026 - Dashboard'!$AH$15,'January 2026 - Dashboard'!$AH$18,'January 2026 - Dashboard'!$AH$21)</c:f>
              <c:numCache>
                <c:formatCode>"$"#,##0.00</c:formatCode>
                <c:ptCount val="7"/>
                <c:pt idx="0">
                  <c:v>155514.93</c:v>
                </c:pt>
                <c:pt idx="1">
                  <c:v>604530.55999999994</c:v>
                </c:pt>
                <c:pt idx="2">
                  <c:v>248451.98</c:v>
                </c:pt>
                <c:pt idx="3">
                  <c:v>183668.34000000003</c:v>
                </c:pt>
                <c:pt idx="4">
                  <c:v>104361.93000000001</c:v>
                </c:pt>
                <c:pt idx="5">
                  <c:v>20464.37</c:v>
                </c:pt>
                <c:pt idx="6">
                  <c:v>1316992.1100000001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24-4A0B-968C-8369EEA93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All'!$D$4,'P - All'!$D$10)</c:f>
              <c:numCache>
                <c:formatCode>\$#,##0.00</c:formatCode>
                <c:ptCount val="2"/>
                <c:pt idx="0">
                  <c:v>102748.02</c:v>
                </c:pt>
                <c:pt idx="1">
                  <c:v>1326.84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F3-4BF0-9DE3-BC9A7305B72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All'!$J$4,'P - All'!$J$10)</c:f>
              <c:numCache>
                <c:formatCode>\$#,##0.00</c:formatCode>
                <c:ptCount val="2"/>
                <c:pt idx="0">
                  <c:v>104386.48</c:v>
                </c:pt>
                <c:pt idx="1">
                  <c:v>21.72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F3-4BF0-9DE3-BC9A7305B72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All'!$Q$4,'P - All'!$Q$10)</c:f>
              <c:numCache>
                <c:formatCode>\$#,##0.00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F3-4BF0-9DE3-BC9A7305B7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All'!$G$2,'P - All'!$G$8)</c:f>
              <c:numCache>
                <c:formatCode>\$#,##0.00</c:formatCode>
                <c:ptCount val="2"/>
                <c:pt idx="0">
                  <c:v>89423.64</c:v>
                </c:pt>
                <c:pt idx="1">
                  <c:v>365.33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F4-4FAF-A4EA-8A6875E9E98D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All'!$M$2,'P - All'!$M$8)</c:f>
              <c:numCache>
                <c:formatCode>\$#,##0.00</c:formatCode>
                <c:ptCount val="2"/>
                <c:pt idx="0">
                  <c:v>90329.47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F4-4FAF-A4EA-8A6875E9E98D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All'!$T$2,'P - All'!$T$8)</c:f>
              <c:numCache>
                <c:formatCode>\$#,##0.00</c:formatCode>
                <c:ptCount val="2"/>
                <c:pt idx="0">
                  <c:v>78738.960000000006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F4-4FAF-A4EA-8A6875E9E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All'!$G$3,'P - All'!$G$9)</c:f>
              <c:numCache>
                <c:formatCode>\$#,##0.00</c:formatCode>
                <c:ptCount val="2"/>
                <c:pt idx="0">
                  <c:v>3326.65</c:v>
                </c:pt>
                <c:pt idx="1">
                  <c:v>5.94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7D-4641-9F13-0ECDB2B5765C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All'!$M$3,'P - All'!$M$9)</c:f>
              <c:numCache>
                <c:formatCode>\$#,##0.00</c:formatCode>
                <c:ptCount val="2"/>
                <c:pt idx="0">
                  <c:v>2908.8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7D-4641-9F13-0ECDB2B5765C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All'!$T$3,'P - All'!$T$9)</c:f>
              <c:numCache>
                <c:formatCode>\$#,##0.00</c:formatCode>
                <c:ptCount val="2"/>
                <c:pt idx="0">
                  <c:v>8724.06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7D-4641-9F13-0ECDB2B57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All'!$G$4,'P - All'!$G$10)</c:f>
              <c:numCache>
                <c:formatCode>\$#,##0.00</c:formatCode>
                <c:ptCount val="2"/>
                <c:pt idx="0">
                  <c:v>17859.61</c:v>
                </c:pt>
                <c:pt idx="1">
                  <c:v>47.05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3D-43DC-9FD5-8FB8B6C17CC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All'!$M$4,'P - All'!$M$10)</c:f>
              <c:numCache>
                <c:formatCode>\$#,##0.00</c:formatCode>
                <c:ptCount val="2"/>
                <c:pt idx="0">
                  <c:v>17507.2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3D-43DC-9FD5-8FB8B6C17CC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All'!$T$4,'P - All'!$T$10)</c:f>
              <c:numCache>
                <c:formatCode>\$#,##0.00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3D-43DC-9FD5-8FB8B6C17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All'!$I$2,'P - All'!$I$8)</c:f>
              <c:numCache>
                <c:formatCode>0.0%</c:formatCode>
                <c:ptCount val="2"/>
                <c:pt idx="0">
                  <c:v>0.27400000000000002</c:v>
                </c:pt>
                <c:pt idx="1">
                  <c:v>0.36299999999999999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1-4F4B-A63E-B4EB06E976B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All'!$O$2,'P - All'!$O$8)</c:f>
              <c:numCache>
                <c:formatCode>0.0%</c:formatCode>
                <c:ptCount val="2"/>
                <c:pt idx="0">
                  <c:v>0.27200000000000002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B1-4F4B-A63E-B4EB06E976B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All'!$V$2,'P - All'!$V$8)</c:f>
              <c:numCache>
                <c:formatCode>0.0%</c:formatCode>
                <c:ptCount val="2"/>
                <c:pt idx="0">
                  <c:v>0.28799999999999998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B1-4F4B-A63E-B4EB06E97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All'!$I$3,'P - All'!$I$9)</c:f>
              <c:numCache>
                <c:formatCode>0.0%</c:formatCode>
                <c:ptCount val="2"/>
                <c:pt idx="0">
                  <c:v>0.35099999999999998</c:v>
                </c:pt>
                <c:pt idx="1">
                  <c:v>0.56699999999999995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AB-4B88-B2E7-99041A7268D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All'!$O$3,'P - All'!$O$9)</c:f>
              <c:numCache>
                <c:formatCode>0.0%</c:formatCode>
                <c:ptCount val="2"/>
                <c:pt idx="0">
                  <c:v>0.39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AB-4B88-B2E7-99041A7268D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All'!$V$3,'P - All'!$V$9)</c:f>
              <c:numCache>
                <c:formatCode>0.0%</c:formatCode>
                <c:ptCount val="2"/>
                <c:pt idx="0">
                  <c:v>0.318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AB-4B88-B2E7-99041A726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All'!$I$4,'P - All'!$I$10)</c:f>
              <c:numCache>
                <c:formatCode>0.0%</c:formatCode>
                <c:ptCount val="2"/>
                <c:pt idx="0">
                  <c:v>0.24399999999999999</c:v>
                </c:pt>
                <c:pt idx="1">
                  <c:v>0.38800000000000001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7C-4171-898F-3802E3B9866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All'!$O$4,'P - All'!$O$10)</c:f>
              <c:numCache>
                <c:formatCode>0.0%</c:formatCode>
                <c:ptCount val="2"/>
                <c:pt idx="0">
                  <c:v>0.27400000000000002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7C-4171-898F-3802E3B9866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All'!$V$4,'P - All'!$V$10)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7C-4171-898F-3802E3B98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All'!$H$2,'P - All'!$H$8)</c:f>
              <c:numCache>
                <c:formatCode>\$#,##0.00</c:formatCode>
                <c:ptCount val="2"/>
                <c:pt idx="0">
                  <c:v>24538.21</c:v>
                </c:pt>
                <c:pt idx="1">
                  <c:v>132.59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0-4777-9B35-18A23A231063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All'!$N$2,'P - All'!$N$8)</c:f>
              <c:numCache>
                <c:formatCode>\$#,##0.00</c:formatCode>
                <c:ptCount val="2"/>
                <c:pt idx="0">
                  <c:v>24572.59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30-4777-9B35-18A23A231063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All'!$U$2,'P - All'!$U$8)</c:f>
              <c:numCache>
                <c:formatCode>\$#,##0.00</c:formatCode>
                <c:ptCount val="2"/>
                <c:pt idx="0">
                  <c:v>22704.51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30-4777-9B35-18A23A2310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GP$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All'!$H$3,'P - All'!$H$9)</c:f>
              <c:numCache>
                <c:formatCode>\$#,##0.00</c:formatCode>
                <c:ptCount val="2"/>
                <c:pt idx="0">
                  <c:v>1166.6600000000001</c:v>
                </c:pt>
                <c:pt idx="1">
                  <c:v>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E-4ED3-88C0-2C7F30F5468E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All'!$N$3,'P - All'!$N$9)</c:f>
              <c:numCache>
                <c:formatCode>\$#,##0.00</c:formatCode>
                <c:ptCount val="2"/>
                <c:pt idx="0">
                  <c:v>1135.6099999999999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AE-4ED3-88C0-2C7F30F5468E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All'!$U$3,'P - All'!$U$9)</c:f>
              <c:numCache>
                <c:formatCode>\$#,##0.00</c:formatCode>
                <c:ptCount val="2"/>
                <c:pt idx="0">
                  <c:v>2774.59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AE-4ED3-88C0-2C7F30F54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</a:t>
            </a:r>
            <a:r>
              <a:rPr lang="en-US" baseline="0"/>
              <a:t> Store</a:t>
            </a:r>
            <a:r>
              <a:rPr lang="en-US"/>
              <a:t> GP$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All'!$H$4,'P - All'!$H$10)</c:f>
              <c:numCache>
                <c:formatCode>\$#,##0.00</c:formatCode>
                <c:ptCount val="2"/>
                <c:pt idx="0">
                  <c:v>4350.53</c:v>
                </c:pt>
                <c:pt idx="1">
                  <c:v>18.25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2A-42C6-A7E4-E31361BD119F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All'!$N$4,'P - All'!$N$10)</c:f>
              <c:numCache>
                <c:formatCode>\$#,##0.00</c:formatCode>
                <c:ptCount val="2"/>
                <c:pt idx="0">
                  <c:v>4805.45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2A-42C6-A7E4-E31361BD119F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All'!$U$4,'P - All'!$U$10)</c:f>
              <c:numCache>
                <c:formatCode>\$#,##0.00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2A-42C6-A7E4-E31361BD1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GP%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Dashboard'!$K$3,'January 2026 - Dashboard'!$K$6,'January 2026 - Dashboard'!$K$9,'January 2026 - Dashboard'!$K$12,'January 2026 - Dashboard'!$K$15,'January 2026 - Dashboard'!$K$18,'January 2026 - Dashboard'!$K$21)</c:f>
              <c:numCache>
                <c:formatCode>0.0%</c:formatCode>
                <c:ptCount val="7"/>
                <c:pt idx="0">
                  <c:v>0.28000000000000003</c:v>
                </c:pt>
                <c:pt idx="1">
                  <c:v>0.30499999999999999</c:v>
                </c:pt>
                <c:pt idx="2">
                  <c:v>0.22500000000000001</c:v>
                </c:pt>
                <c:pt idx="3">
                  <c:v>0.34</c:v>
                </c:pt>
                <c:pt idx="4">
                  <c:v>0.29599999999999999</c:v>
                </c:pt>
                <c:pt idx="5">
                  <c:v>0.34399999999999997</c:v>
                </c:pt>
                <c:pt idx="6">
                  <c:v>0.2976816716379046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54-4C6D-8B7B-C54E6A1AEE51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Dashboard'!$W$3,'January 2026 - Dashboard'!$W$6,'January 2026 - Dashboard'!$W$9,'January 2026 - Dashboard'!$W$12,'January 2026 - Dashboard'!$W$15,'January 2026 - Dashboard'!$W$18,'January 2026 - Dashboard'!$W$21)</c:f>
              <c:numCache>
                <c:formatCode>0.0%</c:formatCode>
                <c:ptCount val="7"/>
                <c:pt idx="0">
                  <c:v>0.315</c:v>
                </c:pt>
                <c:pt idx="1">
                  <c:v>0.29099999999999998</c:v>
                </c:pt>
                <c:pt idx="2">
                  <c:v>0.215</c:v>
                </c:pt>
                <c:pt idx="3">
                  <c:v>0.38700000000000001</c:v>
                </c:pt>
                <c:pt idx="4">
                  <c:v>0.64800000000000002</c:v>
                </c:pt>
                <c:pt idx="5">
                  <c:v>0.39200000000000002</c:v>
                </c:pt>
                <c:pt idx="6">
                  <c:v>0.33012511614147366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54-4C6D-8B7B-C54E6A1AEE51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Dashboard'!$AJ$3,'January 2026 - Dashboard'!$AJ$6,'January 2026 - Dashboard'!$AJ$9,'January 2026 - Dashboard'!$AJ$12,'January 2026 - Dashboard'!$AJ$15,'January 2026 - Dashboard'!$AJ$18,'January 2026 - Dashboard'!$AJ$21)</c:f>
              <c:numCache>
                <c:formatCode>0.0%</c:formatCode>
                <c:ptCount val="7"/>
                <c:pt idx="0">
                  <c:v>0.28799999999999998</c:v>
                </c:pt>
                <c:pt idx="1">
                  <c:v>0.24099999999999999</c:v>
                </c:pt>
                <c:pt idx="2">
                  <c:v>0.20499999999999999</c:v>
                </c:pt>
                <c:pt idx="3">
                  <c:v>0.39700000000000002</c:v>
                </c:pt>
                <c:pt idx="4">
                  <c:v>0.31</c:v>
                </c:pt>
                <c:pt idx="5">
                  <c:v>0.31</c:v>
                </c:pt>
                <c:pt idx="6">
                  <c:v>0.26837007398624435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54-4C6D-8B7B-C54E6A1AE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All'!$D$2,'OL - All'!$D$5,'OL - All'!$D$8,'OL - All'!$D$11,'OL - All'!$D$14,'OL - All'!$D$17,'OL - All'!$D$20)</c:f>
              <c:numCache>
                <c:formatCode>\$#,##0.00</c:formatCode>
                <c:ptCount val="7"/>
                <c:pt idx="0">
                  <c:v>19442.009999999998</c:v>
                </c:pt>
                <c:pt idx="1">
                  <c:v>1751.74</c:v>
                </c:pt>
                <c:pt idx="2">
                  <c:v>0</c:v>
                </c:pt>
                <c:pt idx="3">
                  <c:v>116537.60000000001</c:v>
                </c:pt>
                <c:pt idx="4">
                  <c:v>0</c:v>
                </c:pt>
                <c:pt idx="5">
                  <c:v>1770.33</c:v>
                </c:pt>
                <c:pt idx="6">
                  <c:v>6627.69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5-44CF-BF45-A6511EF02E7F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All'!$J$2,'OL - All'!$J$5,'OL - All'!$J$8,'OL - All'!$J$11,'OL - All'!$J$14,'OL - All'!$J$17,'OL - All'!$J$20)</c:f>
              <c:numCache>
                <c:formatCode>\$#,##0.00</c:formatCode>
                <c:ptCount val="7"/>
                <c:pt idx="0">
                  <c:v>21875.32</c:v>
                </c:pt>
                <c:pt idx="1">
                  <c:v>967.72</c:v>
                </c:pt>
                <c:pt idx="2">
                  <c:v>0</c:v>
                </c:pt>
                <c:pt idx="3">
                  <c:v>238302.01</c:v>
                </c:pt>
                <c:pt idx="4">
                  <c:v>0</c:v>
                </c:pt>
                <c:pt idx="5">
                  <c:v>22188.09</c:v>
                </c:pt>
                <c:pt idx="6">
                  <c:v>19.55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85-44CF-BF45-A6511EF02E7F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All'!$Q$2,'OL - All'!$Q$5,'OL - All'!$Q$8,'OL - All'!$Q$11,'OL - All'!$Q$14,'OL - All'!$Q$17,'OL - All'!$Q$20)</c:f>
              <c:numCache>
                <c:formatCode>\$#,##0.00</c:formatCode>
                <c:ptCount val="7"/>
                <c:pt idx="0">
                  <c:v>19295.64</c:v>
                </c:pt>
                <c:pt idx="1">
                  <c:v>1181.8900000000001</c:v>
                </c:pt>
                <c:pt idx="2">
                  <c:v>0</c:v>
                </c:pt>
                <c:pt idx="3">
                  <c:v>370275.38</c:v>
                </c:pt>
                <c:pt idx="4">
                  <c:v>0</c:v>
                </c:pt>
                <c:pt idx="5">
                  <c:v>750.77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85-44CF-BF45-A6511EF02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All'!$D$3,'OL - All'!$D$6,'OL - All'!$D$9,'OL - All'!$D$12,'OL - All'!$D$15,'OL - All'!$D$18,'OL - All'!$D$21)</c:f>
              <c:numCache>
                <c:formatCode>\$#,##0.00</c:formatCode>
                <c:ptCount val="7"/>
                <c:pt idx="0">
                  <c:v>16532.36</c:v>
                </c:pt>
                <c:pt idx="1">
                  <c:v>506.51</c:v>
                </c:pt>
                <c:pt idx="2">
                  <c:v>0</c:v>
                </c:pt>
                <c:pt idx="3">
                  <c:v>10172.11</c:v>
                </c:pt>
                <c:pt idx="4">
                  <c:v>0</c:v>
                </c:pt>
                <c:pt idx="5">
                  <c:v>0</c:v>
                </c:pt>
                <c:pt idx="6">
                  <c:v>2511.0700000000002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9C-49CC-AE0C-CDCD8BF8D3DF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All'!$J$3,'OL - All'!$J$6,'OL - All'!$J$9,'OL - All'!$J$12,'OL - All'!$J$15,'OL - All'!$J$18,'OL - All'!$J$21)</c:f>
              <c:numCache>
                <c:formatCode>\$#,##0.00</c:formatCode>
                <c:ptCount val="7"/>
                <c:pt idx="0">
                  <c:v>22361.06</c:v>
                </c:pt>
                <c:pt idx="1">
                  <c:v>675.41</c:v>
                </c:pt>
                <c:pt idx="2">
                  <c:v>0</c:v>
                </c:pt>
                <c:pt idx="3">
                  <c:v>18838.97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9C-49CC-AE0C-CDCD8BF8D3DF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All'!$Q$3,'OL - All'!$Q$6,'OL - All'!$Q$9,'OL - All'!$Q$12,'OL - All'!$Q$15,'OL - All'!$Q$18,'OL - All'!$Q$21)</c:f>
              <c:numCache>
                <c:formatCode>\$#,##0.00</c:formatCode>
                <c:ptCount val="7"/>
                <c:pt idx="0">
                  <c:v>5661.65</c:v>
                </c:pt>
                <c:pt idx="1">
                  <c:v>0</c:v>
                </c:pt>
                <c:pt idx="2">
                  <c:v>0</c:v>
                </c:pt>
                <c:pt idx="3">
                  <c:v>11691.13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9C-49CC-AE0C-CDCD8BF8D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All'!$D$4,'OL - All'!$D$7,'OL - All'!$D$10,'OL - All'!$D$13,'OL - All'!$D$16,'OL - All'!$D$19,'OL - All'!$D$22)</c:f>
              <c:numCache>
                <c:formatCode>\$#,##0.00</c:formatCode>
                <c:ptCount val="7"/>
                <c:pt idx="0">
                  <c:v>39.880000000000003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47-4272-8073-AFD2B755FE9E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All'!$J$4,'OL - All'!$J$7,'OL - All'!$J$10,'OL - All'!$J$13,'OL - All'!$J$16,'OL - All'!$J$19,'OL - All'!$J$22)</c:f>
              <c:numCache>
                <c:formatCode>\$#,##0.00</c:formatCode>
                <c:ptCount val="7"/>
                <c:pt idx="0">
                  <c:v>356.06</c:v>
                </c:pt>
                <c:pt idx="1">
                  <c:v>0</c:v>
                </c:pt>
                <c:pt idx="2">
                  <c:v>0</c:v>
                </c:pt>
                <c:pt idx="3">
                  <c:v>9424.5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47-4272-8073-AFD2B755FE9E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All'!$Q$4,'OL - All'!$Q$7,'OL - All'!$Q$10,'OL - All'!$Q$13,'OL - All'!$Q$16,'OL - All'!$Q$19,'OL - All'!$Q$22)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47-4272-8073-AFD2B755F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All'!$G$2,'OL - All'!$G$5,'OL - All'!$G$8,'OL - All'!$G$11,'OL - All'!$G$14,'OL - All'!$G$17,'OL - All'!$G$20)</c:f>
              <c:numCache>
                <c:formatCode>\$#,##0.00</c:formatCode>
                <c:ptCount val="7"/>
                <c:pt idx="0">
                  <c:v>9857.4599999999991</c:v>
                </c:pt>
                <c:pt idx="1">
                  <c:v>295.37</c:v>
                </c:pt>
                <c:pt idx="2">
                  <c:v>0</c:v>
                </c:pt>
                <c:pt idx="3">
                  <c:v>12766.61</c:v>
                </c:pt>
                <c:pt idx="4">
                  <c:v>0</c:v>
                </c:pt>
                <c:pt idx="5">
                  <c:v>0</c:v>
                </c:pt>
                <c:pt idx="6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04-4B97-95EB-7FD324DA052C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All'!$M$2,'OL - All'!$M$5,'OL - All'!$M$8,'OL - All'!$M$11,'OL - All'!$M$14,'OL - All'!$M$17,'OL - All'!$M$20)</c:f>
              <c:numCache>
                <c:formatCode>\$#,##0.00</c:formatCode>
                <c:ptCount val="7"/>
                <c:pt idx="0">
                  <c:v>4593.04</c:v>
                </c:pt>
                <c:pt idx="1">
                  <c:v>176.27</c:v>
                </c:pt>
                <c:pt idx="2">
                  <c:v>0</c:v>
                </c:pt>
                <c:pt idx="3">
                  <c:v>4798.99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04-4B97-95EB-7FD324DA052C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All'!$T$2,'OL - All'!$T$5,'OL - All'!$T$8,'OL - All'!$T$11,'OL - All'!$T$14,'OL - All'!$T$17,'OL - All'!$T$20)</c:f>
              <c:numCache>
                <c:formatCode>\$#,##0.00</c:formatCode>
                <c:ptCount val="7"/>
                <c:pt idx="0">
                  <c:v>5117.79</c:v>
                </c:pt>
                <c:pt idx="1">
                  <c:v>52.92</c:v>
                </c:pt>
                <c:pt idx="2">
                  <c:v>0</c:v>
                </c:pt>
                <c:pt idx="3">
                  <c:v>9516.5300000000007</c:v>
                </c:pt>
                <c:pt idx="4">
                  <c:v>0</c:v>
                </c:pt>
                <c:pt idx="5">
                  <c:v>5085.8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04-4B97-95EB-7FD324DA0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All'!$G$3,'OL - All'!$G$6,'OL - All'!$G$9,'OL - All'!$G$12,'OL - All'!$G$15,'OL - All'!$G$18,'OL - All'!$G$21)</c:f>
              <c:numCache>
                <c:formatCode>\$#,##0.00</c:formatCode>
                <c:ptCount val="7"/>
                <c:pt idx="0">
                  <c:v>2130.15</c:v>
                </c:pt>
                <c:pt idx="1">
                  <c:v>0</c:v>
                </c:pt>
                <c:pt idx="2">
                  <c:v>0</c:v>
                </c:pt>
                <c:pt idx="3">
                  <c:v>126.95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C2-46E7-8B4F-B542F1BBEA61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All'!$M$3,'OL - All'!$M$6,'OL - All'!$M$9,'OL - All'!$M$12,'OL - All'!$M$15,'OL - All'!$M$18,'OL - All'!$M$21)</c:f>
              <c:numCache>
                <c:formatCode>\$#,##0.00</c:formatCode>
                <c:ptCount val="7"/>
                <c:pt idx="0">
                  <c:v>892.91</c:v>
                </c:pt>
                <c:pt idx="1">
                  <c:v>22.77</c:v>
                </c:pt>
                <c:pt idx="2">
                  <c:v>0</c:v>
                </c:pt>
                <c:pt idx="3">
                  <c:v>332.7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C2-46E7-8B4F-B542F1BBEA61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All'!$T$3,'OL - All'!$T$6,'OL - All'!$T$9,'OL - All'!$T$12,'OL - All'!$T$15,'OL - All'!$T$18,'OL - All'!$T$21)</c:f>
              <c:numCache>
                <c:formatCode>\$#,##0.00</c:formatCode>
                <c:ptCount val="7"/>
                <c:pt idx="0">
                  <c:v>627.36</c:v>
                </c:pt>
                <c:pt idx="1">
                  <c:v>0</c:v>
                </c:pt>
                <c:pt idx="2">
                  <c:v>0</c:v>
                </c:pt>
                <c:pt idx="3">
                  <c:v>63.97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C2-46E7-8B4F-B542F1BBE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All'!$G$4,'OL - All'!$G$7,'OL - All'!$G$10,'OL - All'!$G$13,'OL - All'!$G$16,'OL - All'!$G$19,'OL - All'!$G$22)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20-4451-8048-CE42D178CACE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All'!$M$4,'OL - All'!$M$7,'OL - All'!$M$10,'OL - All'!$M$13,'OL - All'!$M$16,'OL - All'!$M$19,'OL - All'!$M$22)</c:f>
              <c:numCache>
                <c:formatCode>\$#,##0.00</c:formatCode>
                <c:ptCount val="7"/>
                <c:pt idx="0">
                  <c:v>5.94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20-4451-8048-CE42D178CACE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All'!$T$4,'OL - All'!$T$7,'OL - All'!$T$10,'OL - All'!$T$13,'OL - All'!$T$16,'OL - All'!$T$19,'OL - All'!$T$22)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20-4451-8048-CE42D178C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All'!$I$2,'OL - All'!$I$5,'OL - All'!$I$8,'OL - All'!$I$11,'OL - All'!$I$14,'OL - All'!$I$17,'OL - All'!$I$20)</c:f>
              <c:numCache>
                <c:formatCode>0.0%</c:formatCode>
                <c:ptCount val="7"/>
                <c:pt idx="0">
                  <c:v>0.45900000000000002</c:v>
                </c:pt>
                <c:pt idx="1">
                  <c:v>0.40899999999999997</c:v>
                </c:pt>
                <c:pt idx="2">
                  <c:v>0</c:v>
                </c:pt>
                <c:pt idx="3">
                  <c:v>0.40600000000000003</c:v>
                </c:pt>
                <c:pt idx="4">
                  <c:v>0</c:v>
                </c:pt>
                <c:pt idx="5">
                  <c:v>0</c:v>
                </c:pt>
                <c:pt idx="6">
                  <c:v>-13.71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0C-4CB0-8B35-42C3B30A293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All'!$O$2,'OL - All'!$O$5,'OL - All'!$O$8,'OL - All'!$O$11,'OL - All'!$O$14,'OL - All'!$O$17,'OL - All'!$O$20)</c:f>
              <c:numCache>
                <c:formatCode>0.0%</c:formatCode>
                <c:ptCount val="7"/>
                <c:pt idx="0">
                  <c:v>0.46100000000000002</c:v>
                </c:pt>
                <c:pt idx="1">
                  <c:v>0.42199999999999999</c:v>
                </c:pt>
                <c:pt idx="2">
                  <c:v>0</c:v>
                </c:pt>
                <c:pt idx="3">
                  <c:v>0.41499999999999998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0C-4CB0-8B35-42C3B30A293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All'!$V$2,'OL - All'!$V$5,'OL - All'!$V$8,'OL - All'!$V$11,'OL - All'!$V$14,'OL - All'!$V$17,'OL - All'!$V$20)</c:f>
              <c:numCache>
                <c:formatCode>0.0%</c:formatCode>
                <c:ptCount val="7"/>
                <c:pt idx="0">
                  <c:v>0.46600000000000003</c:v>
                </c:pt>
                <c:pt idx="1">
                  <c:v>0.46700000000000003</c:v>
                </c:pt>
                <c:pt idx="2">
                  <c:v>0</c:v>
                </c:pt>
                <c:pt idx="3">
                  <c:v>0.27600000000000002</c:v>
                </c:pt>
                <c:pt idx="4">
                  <c:v>0</c:v>
                </c:pt>
                <c:pt idx="5">
                  <c:v>0.20499999999999999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0C-4CB0-8B35-42C3B30A2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All'!$I$3,'OL - All'!$I$6,'OL - All'!$I$9,'OL - All'!$I$12,'OL - All'!$I$15,'OL - All'!$I$18,'OL - All'!$I$21)</c:f>
              <c:numCache>
                <c:formatCode>0.0%</c:formatCode>
                <c:ptCount val="7"/>
                <c:pt idx="0">
                  <c:v>0.33500000000000002</c:v>
                </c:pt>
                <c:pt idx="1">
                  <c:v>0</c:v>
                </c:pt>
                <c:pt idx="2">
                  <c:v>0</c:v>
                </c:pt>
                <c:pt idx="3">
                  <c:v>0.35499999999999998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A-4180-8E62-D3163F78EEC9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All'!$O$3,'OL - All'!$O$6,'OL - All'!$O$9,'OL - All'!$O$12,'OL - All'!$O$15,'OL - All'!$O$18,'OL - All'!$O$21)</c:f>
              <c:numCache>
                <c:formatCode>0.0%</c:formatCode>
                <c:ptCount val="7"/>
                <c:pt idx="0">
                  <c:v>0.39200000000000002</c:v>
                </c:pt>
                <c:pt idx="1">
                  <c:v>0.51200000000000001</c:v>
                </c:pt>
                <c:pt idx="2">
                  <c:v>0</c:v>
                </c:pt>
                <c:pt idx="3">
                  <c:v>-0.91100000000000003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A-4180-8E62-D3163F78EEC9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All'!$V$3,'OL - All'!$V$6,'OL - All'!$V$9,'OL - All'!$V$12,'OL - All'!$V$15,'OL - All'!$V$18,'OL - All'!$V$21)</c:f>
              <c:numCache>
                <c:formatCode>0.0%</c:formatCode>
                <c:ptCount val="7"/>
                <c:pt idx="0">
                  <c:v>0.40300000000000002</c:v>
                </c:pt>
                <c:pt idx="1">
                  <c:v>0</c:v>
                </c:pt>
                <c:pt idx="2">
                  <c:v>0</c:v>
                </c:pt>
                <c:pt idx="3">
                  <c:v>0.44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A-4180-8E62-D3163F78E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GP%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All'!$I$4,'OL - All'!$I$7,'OL - All'!$I$10,'OL - All'!$I$13,'OL - All'!$I$16,'OL - All'!$I$19,'OL - All'!$I$22)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43-4D68-853B-221F5C566B35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All'!$O$4,'OL - All'!$O$7,'OL - All'!$O$10,'OL - All'!$O$13,'OL - All'!$O$16,'OL - All'!$O$19,'OL - All'!$O$22)</c:f>
              <c:numCache>
                <c:formatCode>0.0%</c:formatCode>
                <c:ptCount val="7"/>
                <c:pt idx="0">
                  <c:v>0.35699999999999998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43-4D68-853B-221F5C566B35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All'!$V$4,'OL - All'!$V$7,'OL - All'!$V$10,'OL - All'!$V$13,'OL - All'!$V$16,'OL - All'!$V$19,'OL - All'!$V$22)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43-4D68-853B-221F5C566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All'!$H$2,'OL - All'!$H$5,'OL - All'!$H$8,'OL - All'!$H$11,'OL - All'!$H$14,'OL - All'!$H$17,'OL - All'!$H$20)</c:f>
              <c:numCache>
                <c:formatCode>\$#,##0.00</c:formatCode>
                <c:ptCount val="7"/>
                <c:pt idx="0">
                  <c:v>4521.8599999999997</c:v>
                </c:pt>
                <c:pt idx="1">
                  <c:v>120.66</c:v>
                </c:pt>
                <c:pt idx="2">
                  <c:v>0</c:v>
                </c:pt>
                <c:pt idx="3">
                  <c:v>5179.91</c:v>
                </c:pt>
                <c:pt idx="4">
                  <c:v>0</c:v>
                </c:pt>
                <c:pt idx="5">
                  <c:v>0</c:v>
                </c:pt>
                <c:pt idx="6">
                  <c:v>-1878.26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07-4DF9-B525-AB13957D42A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All'!$N$2,'OL - All'!$N$5,'OL - All'!$N$8,'OL - All'!$N$11,'OL - All'!$N$14,'OL - All'!$N$17,'OL - All'!$N$20)</c:f>
              <c:numCache>
                <c:formatCode>\$#,##0.00</c:formatCode>
                <c:ptCount val="7"/>
                <c:pt idx="0">
                  <c:v>2118.9899999999998</c:v>
                </c:pt>
                <c:pt idx="1">
                  <c:v>74.319999999999993</c:v>
                </c:pt>
                <c:pt idx="2">
                  <c:v>0</c:v>
                </c:pt>
                <c:pt idx="3">
                  <c:v>1990.37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07-4DF9-B525-AB13957D42A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All'!$U$2,'OL - All'!$U$5,'OL - All'!$U$8,'OL - All'!$U$11,'OL - All'!$U$14,'OL - All'!$U$17,'OL - All'!$U$20)</c:f>
              <c:numCache>
                <c:formatCode>\$#,##0.00</c:formatCode>
                <c:ptCount val="7"/>
                <c:pt idx="0">
                  <c:v>2383.3000000000002</c:v>
                </c:pt>
                <c:pt idx="1">
                  <c:v>24.7</c:v>
                </c:pt>
                <c:pt idx="2">
                  <c:v>0</c:v>
                </c:pt>
                <c:pt idx="3">
                  <c:v>2623.09</c:v>
                </c:pt>
                <c:pt idx="4">
                  <c:v>0</c:v>
                </c:pt>
                <c:pt idx="5">
                  <c:v>1041.72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07-4DF9-B525-AB13957D4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GP$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Dashboard'!$J$3,'January 2026 - Dashboard'!$J$6,'January 2026 - Dashboard'!$J$9,'January 2026 - Dashboard'!$J$12,'January 2026 - Dashboard'!$J$15,'January 2026 - Dashboard'!$J$18,'January 2026 - Dashboard'!$J$21)</c:f>
              <c:numCache>
                <c:formatCode>"$"#,##0.00</c:formatCode>
                <c:ptCount val="7"/>
                <c:pt idx="0">
                  <c:v>41683.369999999988</c:v>
                </c:pt>
                <c:pt idx="1">
                  <c:v>148573.74000000002</c:v>
                </c:pt>
                <c:pt idx="2">
                  <c:v>30252.700000000004</c:v>
                </c:pt>
                <c:pt idx="3">
                  <c:v>62372.670000000013</c:v>
                </c:pt>
                <c:pt idx="4">
                  <c:v>33266.329999999994</c:v>
                </c:pt>
                <c:pt idx="5">
                  <c:v>8702.5</c:v>
                </c:pt>
                <c:pt idx="6">
                  <c:v>324851.31000000006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04-424B-9F63-2152271644A2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Dashboard'!$V$3,'January 2026 - Dashboard'!$V$6,'January 2026 - Dashboard'!$V$9,'January 2026 - Dashboard'!$V$12,'January 2026 - Dashboard'!$V$15,'January 2026 - Dashboard'!$V$18,'January 2026 - Dashboard'!$V$21)</c:f>
              <c:numCache>
                <c:formatCode>"$"#,##0.00</c:formatCode>
                <c:ptCount val="7"/>
                <c:pt idx="0">
                  <c:v>31278.969999999998</c:v>
                </c:pt>
                <c:pt idx="1">
                  <c:v>113520.82999999999</c:v>
                </c:pt>
                <c:pt idx="2">
                  <c:v>55116.1</c:v>
                </c:pt>
                <c:pt idx="3">
                  <c:v>60169.80000000001</c:v>
                </c:pt>
                <c:pt idx="4">
                  <c:v>75021.23000000001</c:v>
                </c:pt>
                <c:pt idx="5">
                  <c:v>4244.82</c:v>
                </c:pt>
                <c:pt idx="6">
                  <c:v>339351.75000000006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04-424B-9F63-2152271644A2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('January 2026 - Dashboard'!$A$3,'January 2026 - Dashboard'!$A$6,'January 2026 - Dashboard'!$A$9,'January 2026 - Dashboard'!$A$12,'January 2026 - Dashboard'!$A$15,'January 2026 - Dashboard'!$A$18,'January 2026 -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('January 2026 - Dashboard'!$AI$3,'January 2026 - Dashboard'!$AI$6,'January 2026 - Dashboard'!$AI$9,'January 2026 - Dashboard'!$AI$12,'January 2026 - Dashboard'!$AI$15,'January 2026 - Dashboard'!$AI$18,'January 2026 - Dashboard'!$AI$21)</c:f>
              <c:numCache>
                <c:formatCode>"$"#,##0.00</c:formatCode>
                <c:ptCount val="7"/>
                <c:pt idx="0">
                  <c:v>44852.22</c:v>
                </c:pt>
                <c:pt idx="1">
                  <c:v>145847.93000000002</c:v>
                </c:pt>
                <c:pt idx="2">
                  <c:v>51022.34</c:v>
                </c:pt>
                <c:pt idx="3">
                  <c:v>72983.450000000012</c:v>
                </c:pt>
                <c:pt idx="4">
                  <c:v>32381.649999999998</c:v>
                </c:pt>
                <c:pt idx="5">
                  <c:v>6353.6799999999994</c:v>
                </c:pt>
                <c:pt idx="6">
                  <c:v>353441.27000000008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04-424B-9F63-215227164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GP$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All'!$H$3,'OL - All'!$H$6,'OL - All'!$H$9,'OL - All'!$H$12,'OL - All'!$H$15,'OL - All'!$H$18,'OL - All'!$H$21)</c:f>
              <c:numCache>
                <c:formatCode>\$#,##0.00</c:formatCode>
                <c:ptCount val="7"/>
                <c:pt idx="0">
                  <c:v>713.25</c:v>
                </c:pt>
                <c:pt idx="1">
                  <c:v>0</c:v>
                </c:pt>
                <c:pt idx="2">
                  <c:v>0</c:v>
                </c:pt>
                <c:pt idx="3">
                  <c:v>45.08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D6-49E7-B5BB-D775A7792E3B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All'!$N$3,'OL - All'!$N$6,'OL - All'!$N$9,'OL - All'!$N$12,'OL - All'!$N$15,'OL - All'!$N$18,'OL - All'!$N$21)</c:f>
              <c:numCache>
                <c:formatCode>\$#,##0.00</c:formatCode>
                <c:ptCount val="7"/>
                <c:pt idx="0">
                  <c:v>350.37</c:v>
                </c:pt>
                <c:pt idx="1">
                  <c:v>11.66</c:v>
                </c:pt>
                <c:pt idx="2">
                  <c:v>0</c:v>
                </c:pt>
                <c:pt idx="3">
                  <c:v>-303.01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6-49E7-B5BB-D775A7792E3B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All'!$U$3,'OL - All'!$U$6,'OL - All'!$U$9,'OL - All'!$U$12,'OL - All'!$U$15,'OL - All'!$U$18,'OL - All'!$U$21)</c:f>
              <c:numCache>
                <c:formatCode>\$#,##0.00</c:formatCode>
                <c:ptCount val="7"/>
                <c:pt idx="0">
                  <c:v>252.72</c:v>
                </c:pt>
                <c:pt idx="1">
                  <c:v>0</c:v>
                </c:pt>
                <c:pt idx="2">
                  <c:v>0</c:v>
                </c:pt>
                <c:pt idx="3">
                  <c:v>28.15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D6-49E7-B5BB-D775A7792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GP$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All'!$H$4,'OL - All'!$H$7,'OL - All'!$H$10,'OL - All'!$H$13,'OL - All'!$H$16,'OL - All'!$H$19,'OL - All'!$H$22)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26-4698-941B-7B0F92645FF0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All'!$N$4,'OL - All'!$N$7,'OL - All'!$N$10,'OL - All'!$N$13,'OL - All'!$N$16,'OL - All'!$N$19,'OL - All'!$N$22)</c:f>
              <c:numCache>
                <c:formatCode>\$#,##0.00</c:formatCode>
                <c:ptCount val="7"/>
                <c:pt idx="0">
                  <c:v>2.12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26-4698-941B-7B0F92645FF0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All'!$U$4,'OL - All'!$U$7,'OL - All'!$U$10,'OL - All'!$U$13,'OL - All'!$U$16,'OL - All'!$U$19,'OL - All'!$U$22)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26-4698-941B-7B0F92645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GP$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087675844495818E-2"/>
          <c:y val="6.1160156108113352E-2"/>
          <c:w val="0.91424274815064155"/>
          <c:h val="0.818365800296040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ChartLabels!$A$1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Dashboard'!$J$3:$J$21</c:f>
              <c:numCache>
                <c:formatCode>"$"#,##0.00</c:formatCode>
                <c:ptCount val="19"/>
                <c:pt idx="0">
                  <c:v>41683.369999999988</c:v>
                </c:pt>
                <c:pt idx="1">
                  <c:v>41683.369999999988</c:v>
                </c:pt>
                <c:pt idx="2">
                  <c:v>0</c:v>
                </c:pt>
                <c:pt idx="3">
                  <c:v>148573.74000000002</c:v>
                </c:pt>
                <c:pt idx="4">
                  <c:v>123322.12000000002</c:v>
                </c:pt>
                <c:pt idx="5">
                  <c:v>25251.62</c:v>
                </c:pt>
                <c:pt idx="6">
                  <c:v>30252.700000000004</c:v>
                </c:pt>
                <c:pt idx="7">
                  <c:v>4906.75</c:v>
                </c:pt>
                <c:pt idx="8">
                  <c:v>25345.949999999997</c:v>
                </c:pt>
                <c:pt idx="9">
                  <c:v>62372.670000000013</c:v>
                </c:pt>
                <c:pt idx="10">
                  <c:v>60856.220000000016</c:v>
                </c:pt>
                <c:pt idx="11">
                  <c:v>1516.45</c:v>
                </c:pt>
                <c:pt idx="12">
                  <c:v>33266.329999999994</c:v>
                </c:pt>
                <c:pt idx="13">
                  <c:v>30209.609999999997</c:v>
                </c:pt>
                <c:pt idx="14">
                  <c:v>154.21</c:v>
                </c:pt>
                <c:pt idx="15">
                  <c:v>8702.5</c:v>
                </c:pt>
                <c:pt idx="16">
                  <c:v>8702.5</c:v>
                </c:pt>
                <c:pt idx="17">
                  <c:v>0</c:v>
                </c:pt>
                <c:pt idx="18">
                  <c:v>324851.31000000006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E9-4623-8599-5012C7B06BDA}"/>
            </c:ext>
          </c:extLst>
        </c:ser>
        <c:ser>
          <c:idx val="1"/>
          <c:order val="1"/>
          <c:tx>
            <c:strRef>
              <c:f>ChartLabels!$B$1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Dashboard'!$V$3:$V$21</c:f>
              <c:numCache>
                <c:formatCode>"$"#,##0.00</c:formatCode>
                <c:ptCount val="19"/>
                <c:pt idx="0">
                  <c:v>31278.969999999998</c:v>
                </c:pt>
                <c:pt idx="1">
                  <c:v>31278.969999999998</c:v>
                </c:pt>
                <c:pt idx="2">
                  <c:v>0</c:v>
                </c:pt>
                <c:pt idx="3">
                  <c:v>113520.82999999999</c:v>
                </c:pt>
                <c:pt idx="4">
                  <c:v>90225.939999999988</c:v>
                </c:pt>
                <c:pt idx="5">
                  <c:v>23294.89</c:v>
                </c:pt>
                <c:pt idx="6">
                  <c:v>55116.1</c:v>
                </c:pt>
                <c:pt idx="7">
                  <c:v>5708.1200000000008</c:v>
                </c:pt>
                <c:pt idx="8">
                  <c:v>49407.979999999996</c:v>
                </c:pt>
                <c:pt idx="9">
                  <c:v>60169.80000000001</c:v>
                </c:pt>
                <c:pt idx="10">
                  <c:v>58549.48000000001</c:v>
                </c:pt>
                <c:pt idx="11">
                  <c:v>1620.32</c:v>
                </c:pt>
                <c:pt idx="12">
                  <c:v>75021.23000000001</c:v>
                </c:pt>
                <c:pt idx="13">
                  <c:v>30513.65</c:v>
                </c:pt>
                <c:pt idx="14">
                  <c:v>0</c:v>
                </c:pt>
                <c:pt idx="15">
                  <c:v>4244.82</c:v>
                </c:pt>
                <c:pt idx="16">
                  <c:v>4244.82</c:v>
                </c:pt>
                <c:pt idx="17">
                  <c:v>0</c:v>
                </c:pt>
                <c:pt idx="18">
                  <c:v>339351.75000000006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E9-4623-8599-5012C7B06BDA}"/>
            </c:ext>
          </c:extLst>
        </c:ser>
        <c:ser>
          <c:idx val="2"/>
          <c:order val="2"/>
          <c:tx>
            <c:strRef>
              <c:f>ChartLabels!$C$1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'January 2026 -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'January 2026 - Dashboard'!$AI$3:$AI$21</c:f>
              <c:numCache>
                <c:formatCode>"$"#,##0.00</c:formatCode>
                <c:ptCount val="19"/>
                <c:pt idx="0">
                  <c:v>44852.22</c:v>
                </c:pt>
                <c:pt idx="1">
                  <c:v>44852.22</c:v>
                </c:pt>
                <c:pt idx="2">
                  <c:v>0</c:v>
                </c:pt>
                <c:pt idx="3">
                  <c:v>145847.93000000002</c:v>
                </c:pt>
                <c:pt idx="4">
                  <c:v>110769.87000000001</c:v>
                </c:pt>
                <c:pt idx="5">
                  <c:v>35078.06</c:v>
                </c:pt>
                <c:pt idx="6">
                  <c:v>51022.34</c:v>
                </c:pt>
                <c:pt idx="7">
                  <c:v>6188.15</c:v>
                </c:pt>
                <c:pt idx="8">
                  <c:v>44834.19</c:v>
                </c:pt>
                <c:pt idx="9">
                  <c:v>72983.450000000012</c:v>
                </c:pt>
                <c:pt idx="10">
                  <c:v>69939.510000000009</c:v>
                </c:pt>
                <c:pt idx="11">
                  <c:v>3043.94</c:v>
                </c:pt>
                <c:pt idx="12">
                  <c:v>32381.649999999998</c:v>
                </c:pt>
                <c:pt idx="13">
                  <c:v>25479.1</c:v>
                </c:pt>
                <c:pt idx="14">
                  <c:v>0</c:v>
                </c:pt>
                <c:pt idx="15">
                  <c:v>6353.6799999999994</c:v>
                </c:pt>
                <c:pt idx="16">
                  <c:v>5311.9599999999991</c:v>
                </c:pt>
                <c:pt idx="17">
                  <c:v>1041.72</c:v>
                </c:pt>
                <c:pt idx="18">
                  <c:v>353441.27000000008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E9-4623-8599-5012C7B06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0162287"/>
        <c:axId val="1820163727"/>
      </c:barChart>
      <c:catAx>
        <c:axId val="1820162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3727"/>
        <c:crosses val="autoZero"/>
        <c:auto val="1"/>
        <c:lblAlgn val="ctr"/>
        <c:lblOffset val="100"/>
        <c:noMultiLvlLbl val="0"/>
      </c:catAx>
      <c:valAx>
        <c:axId val="1820163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22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790094304466656"/>
          <c:y val="0.13807020364620579"/>
          <c:w val="0.21120259174204184"/>
          <c:h val="4.7006003834818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12" Type="http://schemas.openxmlformats.org/officeDocument/2006/relationships/chart" Target="../charts/chart21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9.xml"/><Relationship Id="rId3" Type="http://schemas.openxmlformats.org/officeDocument/2006/relationships/chart" Target="../charts/chart24.xml"/><Relationship Id="rId7" Type="http://schemas.openxmlformats.org/officeDocument/2006/relationships/chart" Target="../charts/chart28.xml"/><Relationship Id="rId12" Type="http://schemas.openxmlformats.org/officeDocument/2006/relationships/chart" Target="../charts/chart33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11" Type="http://schemas.openxmlformats.org/officeDocument/2006/relationships/chart" Target="../charts/chart32.xml"/><Relationship Id="rId5" Type="http://schemas.openxmlformats.org/officeDocument/2006/relationships/chart" Target="../charts/chart26.xml"/><Relationship Id="rId10" Type="http://schemas.openxmlformats.org/officeDocument/2006/relationships/chart" Target="../charts/chart31.xml"/><Relationship Id="rId4" Type="http://schemas.openxmlformats.org/officeDocument/2006/relationships/chart" Target="../charts/chart25.xml"/><Relationship Id="rId9" Type="http://schemas.openxmlformats.org/officeDocument/2006/relationships/chart" Target="../charts/chart30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1.xml"/><Relationship Id="rId3" Type="http://schemas.openxmlformats.org/officeDocument/2006/relationships/chart" Target="../charts/chart36.xml"/><Relationship Id="rId7" Type="http://schemas.openxmlformats.org/officeDocument/2006/relationships/chart" Target="../charts/chart40.xml"/><Relationship Id="rId12" Type="http://schemas.openxmlformats.org/officeDocument/2006/relationships/chart" Target="../charts/chart45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11" Type="http://schemas.openxmlformats.org/officeDocument/2006/relationships/chart" Target="../charts/chart44.xml"/><Relationship Id="rId5" Type="http://schemas.openxmlformats.org/officeDocument/2006/relationships/chart" Target="../charts/chart38.xml"/><Relationship Id="rId10" Type="http://schemas.openxmlformats.org/officeDocument/2006/relationships/chart" Target="../charts/chart43.xml"/><Relationship Id="rId4" Type="http://schemas.openxmlformats.org/officeDocument/2006/relationships/chart" Target="../charts/chart37.xml"/><Relationship Id="rId9" Type="http://schemas.openxmlformats.org/officeDocument/2006/relationships/chart" Target="../charts/chart42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3.xml"/><Relationship Id="rId3" Type="http://schemas.openxmlformats.org/officeDocument/2006/relationships/chart" Target="../charts/chart48.xml"/><Relationship Id="rId7" Type="http://schemas.openxmlformats.org/officeDocument/2006/relationships/chart" Target="../charts/chart52.xml"/><Relationship Id="rId12" Type="http://schemas.openxmlformats.org/officeDocument/2006/relationships/chart" Target="../charts/chart57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6" Type="http://schemas.openxmlformats.org/officeDocument/2006/relationships/chart" Target="../charts/chart51.xml"/><Relationship Id="rId11" Type="http://schemas.openxmlformats.org/officeDocument/2006/relationships/chart" Target="../charts/chart56.xml"/><Relationship Id="rId5" Type="http://schemas.openxmlformats.org/officeDocument/2006/relationships/chart" Target="../charts/chart50.xml"/><Relationship Id="rId10" Type="http://schemas.openxmlformats.org/officeDocument/2006/relationships/chart" Target="../charts/chart55.xml"/><Relationship Id="rId4" Type="http://schemas.openxmlformats.org/officeDocument/2006/relationships/chart" Target="../charts/chart49.xml"/><Relationship Id="rId9" Type="http://schemas.openxmlformats.org/officeDocument/2006/relationships/chart" Target="../charts/chart54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5.xml"/><Relationship Id="rId3" Type="http://schemas.openxmlformats.org/officeDocument/2006/relationships/chart" Target="../charts/chart60.xml"/><Relationship Id="rId7" Type="http://schemas.openxmlformats.org/officeDocument/2006/relationships/chart" Target="../charts/chart64.xml"/><Relationship Id="rId12" Type="http://schemas.openxmlformats.org/officeDocument/2006/relationships/chart" Target="../charts/chart69.xml"/><Relationship Id="rId2" Type="http://schemas.openxmlformats.org/officeDocument/2006/relationships/chart" Target="../charts/chart59.xml"/><Relationship Id="rId1" Type="http://schemas.openxmlformats.org/officeDocument/2006/relationships/chart" Target="../charts/chart58.xml"/><Relationship Id="rId6" Type="http://schemas.openxmlformats.org/officeDocument/2006/relationships/chart" Target="../charts/chart63.xml"/><Relationship Id="rId11" Type="http://schemas.openxmlformats.org/officeDocument/2006/relationships/chart" Target="../charts/chart68.xml"/><Relationship Id="rId5" Type="http://schemas.openxmlformats.org/officeDocument/2006/relationships/chart" Target="../charts/chart62.xml"/><Relationship Id="rId10" Type="http://schemas.openxmlformats.org/officeDocument/2006/relationships/chart" Target="../charts/chart67.xml"/><Relationship Id="rId4" Type="http://schemas.openxmlformats.org/officeDocument/2006/relationships/chart" Target="../charts/chart61.xml"/><Relationship Id="rId9" Type="http://schemas.openxmlformats.org/officeDocument/2006/relationships/chart" Target="../charts/chart66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7.xml"/><Relationship Id="rId3" Type="http://schemas.openxmlformats.org/officeDocument/2006/relationships/chart" Target="../charts/chart72.xml"/><Relationship Id="rId7" Type="http://schemas.openxmlformats.org/officeDocument/2006/relationships/chart" Target="../charts/chart76.xml"/><Relationship Id="rId12" Type="http://schemas.openxmlformats.org/officeDocument/2006/relationships/chart" Target="../charts/chart81.xml"/><Relationship Id="rId2" Type="http://schemas.openxmlformats.org/officeDocument/2006/relationships/chart" Target="../charts/chart71.xml"/><Relationship Id="rId1" Type="http://schemas.openxmlformats.org/officeDocument/2006/relationships/chart" Target="../charts/chart70.xml"/><Relationship Id="rId6" Type="http://schemas.openxmlformats.org/officeDocument/2006/relationships/chart" Target="../charts/chart75.xml"/><Relationship Id="rId11" Type="http://schemas.openxmlformats.org/officeDocument/2006/relationships/chart" Target="../charts/chart80.xml"/><Relationship Id="rId5" Type="http://schemas.openxmlformats.org/officeDocument/2006/relationships/chart" Target="../charts/chart74.xml"/><Relationship Id="rId10" Type="http://schemas.openxmlformats.org/officeDocument/2006/relationships/chart" Target="../charts/chart79.xml"/><Relationship Id="rId4" Type="http://schemas.openxmlformats.org/officeDocument/2006/relationships/chart" Target="../charts/chart73.xml"/><Relationship Id="rId9" Type="http://schemas.openxmlformats.org/officeDocument/2006/relationships/chart" Target="../charts/chart7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215088</xdr:colOff>
      <xdr:row>56</xdr:row>
      <xdr:rowOff>73024</xdr:rowOff>
    </xdr:from>
    <xdr:to>
      <xdr:col>10</xdr:col>
      <xdr:colOff>745829</xdr:colOff>
      <xdr:row>89</xdr:row>
      <xdr:rowOff>51832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544097-5AF0-4BBC-C48C-5A7BEDB16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226828</xdr:colOff>
      <xdr:row>50</xdr:row>
      <xdr:rowOff>12626</xdr:rowOff>
    </xdr:from>
    <xdr:to>
      <xdr:col>26</xdr:col>
      <xdr:colOff>514793</xdr:colOff>
      <xdr:row>71</xdr:row>
      <xdr:rowOff>98352</xdr:rowOff>
    </xdr:to>
    <xdr:graphicFrame macro="">
      <xdr:nvGraphicFramePr>
        <xdr:cNvPr id="84" name="Chart 2">
          <a:extLst>
            <a:ext uri="{FF2B5EF4-FFF2-40B4-BE49-F238E27FC236}">
              <a16:creationId xmlns:a16="http://schemas.microsoft.com/office/drawing/2014/main" id="{04BB1D85-88CD-86CC-D48A-D4DDCBBEFF18}"/>
            </a:ext>
            <a:ext uri="{147F2762-F138-4A5C-976F-8EAC2B608ADB}">
              <a16:predDERef xmlns:a16="http://schemas.microsoft.com/office/drawing/2014/main" pred="{D8544097-5AF0-4BBC-C48C-5A7BEDB16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221069</xdr:colOff>
      <xdr:row>50</xdr:row>
      <xdr:rowOff>222</xdr:rowOff>
    </xdr:from>
    <xdr:to>
      <xdr:col>48</xdr:col>
      <xdr:colOff>202905</xdr:colOff>
      <xdr:row>78</xdr:row>
      <xdr:rowOff>178981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318B227D-27AB-B1C7-64EA-C2E374BCB1A7}"/>
            </a:ext>
            <a:ext uri="{147F2762-F138-4A5C-976F-8EAC2B608ADB}">
              <a16:predDERef xmlns:a16="http://schemas.microsoft.com/office/drawing/2014/main" pred="{04BB1D85-88CD-86CC-D48A-D4DDCBBEFF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632416</xdr:colOff>
      <xdr:row>22</xdr:row>
      <xdr:rowOff>22152</xdr:rowOff>
    </xdr:from>
    <xdr:to>
      <xdr:col>48</xdr:col>
      <xdr:colOff>633302</xdr:colOff>
      <xdr:row>49</xdr:row>
      <xdr:rowOff>126927</xdr:rowOff>
    </xdr:to>
    <xdr:graphicFrame macro="">
      <xdr:nvGraphicFramePr>
        <xdr:cNvPr id="76" name="Chart 4">
          <a:extLst>
            <a:ext uri="{FF2B5EF4-FFF2-40B4-BE49-F238E27FC236}">
              <a16:creationId xmlns:a16="http://schemas.microsoft.com/office/drawing/2014/main" id="{5CB6FF35-8232-E907-90D0-852DED6173A7}"/>
            </a:ext>
            <a:ext uri="{147F2762-F138-4A5C-976F-8EAC2B608ADB}">
              <a16:predDERef xmlns:a16="http://schemas.microsoft.com/office/drawing/2014/main" pred="{318B227D-27AB-B1C7-64EA-C2E374BCB1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223726</xdr:colOff>
      <xdr:row>72</xdr:row>
      <xdr:rowOff>16170</xdr:rowOff>
    </xdr:from>
    <xdr:to>
      <xdr:col>26</xdr:col>
      <xdr:colOff>502166</xdr:colOff>
      <xdr:row>96</xdr:row>
      <xdr:rowOff>25695</xdr:rowOff>
    </xdr:to>
    <xdr:graphicFrame macro="">
      <xdr:nvGraphicFramePr>
        <xdr:cNvPr id="88" name="Chart 5">
          <a:extLst>
            <a:ext uri="{FF2B5EF4-FFF2-40B4-BE49-F238E27FC236}">
              <a16:creationId xmlns:a16="http://schemas.microsoft.com/office/drawing/2014/main" id="{8D826EB8-C61B-6122-BFD7-CDADDBF3A6C7}"/>
            </a:ext>
            <a:ext uri="{147F2762-F138-4A5C-976F-8EAC2B608ADB}">
              <a16:predDERef xmlns:a16="http://schemas.microsoft.com/office/drawing/2014/main" pred="{5CB6FF35-8232-E907-90D0-852DED6173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171450</xdr:colOff>
      <xdr:row>21</xdr:row>
      <xdr:rowOff>180975</xdr:rowOff>
    </xdr:from>
    <xdr:to>
      <xdr:col>10</xdr:col>
      <xdr:colOff>800100</xdr:colOff>
      <xdr:row>55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63C4572-55C0-45DA-A191-8AEF187E37DA}"/>
            </a:ext>
            <a:ext uri="{147F2762-F138-4A5C-976F-8EAC2B608ADB}">
              <a16:predDERef xmlns:a16="http://schemas.microsoft.com/office/drawing/2014/main" pred="{8D826EB8-C61B-6122-BFD7-CDADDBF3A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207778</xdr:colOff>
      <xdr:row>21</xdr:row>
      <xdr:rowOff>180975</xdr:rowOff>
    </xdr:from>
    <xdr:to>
      <xdr:col>26</xdr:col>
      <xdr:colOff>467168</xdr:colOff>
      <xdr:row>49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B7FC0E8-6C8F-4469-8A9A-2CFBDCFEAA2D}"/>
            </a:ext>
            <a:ext uri="{147F2762-F138-4A5C-976F-8EAC2B608ADB}">
              <a16:predDERef xmlns:a16="http://schemas.microsoft.com/office/drawing/2014/main" pred="{E63C4572-55C0-45DA-A191-8AEF187E37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22</xdr:row>
      <xdr:rowOff>0</xdr:rowOff>
    </xdr:from>
    <xdr:to>
      <xdr:col>38</xdr:col>
      <xdr:colOff>121831</xdr:colOff>
      <xdr:row>55</xdr:row>
      <xdr:rowOff>16835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81435FC-A065-46B2-ACFA-E7916FB8A659}"/>
            </a:ext>
            <a:ext uri="{147F2762-F138-4A5C-976F-8EAC2B608ADB}">
              <a16:predDERef xmlns:a16="http://schemas.microsoft.com/office/drawing/2014/main" pred="{8D826EB8-C61B-6122-BFD7-CDADDBF3A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0</xdr:colOff>
      <xdr:row>56</xdr:row>
      <xdr:rowOff>0</xdr:rowOff>
    </xdr:from>
    <xdr:to>
      <xdr:col>38</xdr:col>
      <xdr:colOff>81072</xdr:colOff>
      <xdr:row>88</xdr:row>
      <xdr:rowOff>167093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C0789BF-5A58-4535-8799-2FA7B32838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0</xdr:rowOff>
    </xdr:from>
    <xdr:to>
      <xdr:col>7</xdr:col>
      <xdr:colOff>552450</xdr:colOff>
      <xdr:row>56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4901EA-AC27-42E2-AA37-53A3B9F378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33</xdr:row>
      <xdr:rowOff>0</xdr:rowOff>
    </xdr:from>
    <xdr:to>
      <xdr:col>16</xdr:col>
      <xdr:colOff>200025</xdr:colOff>
      <xdr:row>56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69244F8-2E3C-4D63-9489-F09DD5008F79}"/>
            </a:ext>
            <a:ext uri="{147F2762-F138-4A5C-976F-8EAC2B608ADB}">
              <a16:predDERef xmlns:a16="http://schemas.microsoft.com/office/drawing/2014/main" pred="{A94901EA-AC27-42E2-AA37-53A3B9F378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447675</xdr:colOff>
      <xdr:row>33</xdr:row>
      <xdr:rowOff>0</xdr:rowOff>
    </xdr:from>
    <xdr:to>
      <xdr:col>25</xdr:col>
      <xdr:colOff>323850</xdr:colOff>
      <xdr:row>56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2E6B560-AAA8-477A-9A13-F70DB90C4610}"/>
            </a:ext>
            <a:ext uri="{147F2762-F138-4A5C-976F-8EAC2B608ADB}">
              <a16:predDERef xmlns:a16="http://schemas.microsoft.com/office/drawing/2014/main" pred="{F69244F8-2E3C-4D63-9489-F09DD5008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57</xdr:row>
      <xdr:rowOff>0</xdr:rowOff>
    </xdr:from>
    <xdr:to>
      <xdr:col>7</xdr:col>
      <xdr:colOff>552450</xdr:colOff>
      <xdr:row>80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C86B69E-4560-4C15-BB1E-2A1E54A6A6DD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57</xdr:row>
      <xdr:rowOff>0</xdr:rowOff>
    </xdr:from>
    <xdr:to>
      <xdr:col>16</xdr:col>
      <xdr:colOff>200025</xdr:colOff>
      <xdr:row>80</xdr:row>
      <xdr:rowOff>9525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3D782E1-BDE9-4BFF-A2BD-F5D6ADE15B67}"/>
            </a:ext>
            <a:ext uri="{147F2762-F138-4A5C-976F-8EAC2B608ADB}">
              <a16:predDERef xmlns:a16="http://schemas.microsoft.com/office/drawing/2014/main" pred="{0C86B69E-4560-4C15-BB1E-2A1E54A6A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438150</xdr:colOff>
      <xdr:row>57</xdr:row>
      <xdr:rowOff>0</xdr:rowOff>
    </xdr:from>
    <xdr:to>
      <xdr:col>25</xdr:col>
      <xdr:colOff>314325</xdr:colOff>
      <xdr:row>80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8C0D515-CAA4-49AD-BE64-C0721408C985}"/>
            </a:ext>
            <a:ext uri="{147F2762-F138-4A5C-976F-8EAC2B608ADB}">
              <a16:predDERef xmlns:a16="http://schemas.microsoft.com/office/drawing/2014/main" pred="{63D782E1-BDE9-4BFF-A2BD-F5D6ADE15B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7</xdr:col>
      <xdr:colOff>552450</xdr:colOff>
      <xdr:row>104</xdr:row>
      <xdr:rowOff>9526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725388F-DC66-4344-AF33-8ED6D2B3FA5E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81</xdr:row>
      <xdr:rowOff>0</xdr:rowOff>
    </xdr:from>
    <xdr:to>
      <xdr:col>16</xdr:col>
      <xdr:colOff>198031</xdr:colOff>
      <xdr:row>104</xdr:row>
      <xdr:rowOff>9526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13209EC-747A-4674-9C1E-8AF64A545F7D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454100</xdr:colOff>
      <xdr:row>81</xdr:row>
      <xdr:rowOff>0</xdr:rowOff>
    </xdr:from>
    <xdr:to>
      <xdr:col>25</xdr:col>
      <xdr:colOff>330939</xdr:colOff>
      <xdr:row>104</xdr:row>
      <xdr:rowOff>9526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C9CF3876-5408-408C-A8EF-133C2B9E7EDA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105</xdr:row>
      <xdr:rowOff>0</xdr:rowOff>
    </xdr:from>
    <xdr:to>
      <xdr:col>7</xdr:col>
      <xdr:colOff>552450</xdr:colOff>
      <xdr:row>128</xdr:row>
      <xdr:rowOff>9526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44A772FE-1CBA-49A7-8966-695C5DA38809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0</xdr:colOff>
      <xdr:row>105</xdr:row>
      <xdr:rowOff>0</xdr:rowOff>
    </xdr:from>
    <xdr:to>
      <xdr:col>16</xdr:col>
      <xdr:colOff>198031</xdr:colOff>
      <xdr:row>128</xdr:row>
      <xdr:rowOff>9526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FFD32400-18E3-483B-A90E-FA984501827C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454100</xdr:colOff>
      <xdr:row>105</xdr:row>
      <xdr:rowOff>0</xdr:rowOff>
    </xdr:from>
    <xdr:to>
      <xdr:col>25</xdr:col>
      <xdr:colOff>330939</xdr:colOff>
      <xdr:row>128</xdr:row>
      <xdr:rowOff>9526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2B2C8824-65E1-40A3-B07A-9DB16D06C506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33</xdr:row>
      <xdr:rowOff>0</xdr:rowOff>
    </xdr:from>
    <xdr:to>
      <xdr:col>6</xdr:col>
      <xdr:colOff>1019175</xdr:colOff>
      <xdr:row>53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2ED724-A8C2-4E31-86DA-74F936FB0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33</xdr:row>
      <xdr:rowOff>0</xdr:rowOff>
    </xdr:from>
    <xdr:to>
      <xdr:col>13</xdr:col>
      <xdr:colOff>895350</xdr:colOff>
      <xdr:row>53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BEBDEAF-8326-4D00-BA7D-8D8BE3AA6F73}"/>
            </a:ext>
            <a:ext uri="{147F2762-F138-4A5C-976F-8EAC2B608ADB}">
              <a16:predDERef xmlns:a16="http://schemas.microsoft.com/office/drawing/2014/main" pred="{752ED724-A8C2-4E31-86DA-74F936FB0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33</xdr:row>
      <xdr:rowOff>0</xdr:rowOff>
    </xdr:from>
    <xdr:to>
      <xdr:col>21</xdr:col>
      <xdr:colOff>76200</xdr:colOff>
      <xdr:row>53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85146B4-FBFE-4090-A382-0A5123B4BBA0}"/>
            </a:ext>
            <a:ext uri="{147F2762-F138-4A5C-976F-8EAC2B608ADB}">
              <a16:predDERef xmlns:a16="http://schemas.microsoft.com/office/drawing/2014/main" pred="{CBEBDEAF-8326-4D00-BA7D-8D8BE3AA6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55</xdr:row>
      <xdr:rowOff>0</xdr:rowOff>
    </xdr:from>
    <xdr:to>
      <xdr:col>6</xdr:col>
      <xdr:colOff>1038225</xdr:colOff>
      <xdr:row>75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3C26FCE-FC1D-4DCC-9400-B6E9A1ADB02E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55</xdr:row>
      <xdr:rowOff>0</xdr:rowOff>
    </xdr:from>
    <xdr:to>
      <xdr:col>13</xdr:col>
      <xdr:colOff>895350</xdr:colOff>
      <xdr:row>75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4DE1F94-0565-4AA4-9EDF-17CA35A03F3E}"/>
            </a:ext>
            <a:ext uri="{147F2762-F138-4A5C-976F-8EAC2B608ADB}">
              <a16:predDERef xmlns:a16="http://schemas.microsoft.com/office/drawing/2014/main" pred="{23C26FCE-FC1D-4DCC-9400-B6E9A1ADB0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0</xdr:colOff>
      <xdr:row>55</xdr:row>
      <xdr:rowOff>0</xdr:rowOff>
    </xdr:from>
    <xdr:to>
      <xdr:col>21</xdr:col>
      <xdr:colOff>76200</xdr:colOff>
      <xdr:row>75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0708668-9E36-4C7C-9420-4B8C50918DEA}"/>
            </a:ext>
            <a:ext uri="{147F2762-F138-4A5C-976F-8EAC2B608ADB}">
              <a16:predDERef xmlns:a16="http://schemas.microsoft.com/office/drawing/2014/main" pred="{54DE1F94-0565-4AA4-9EDF-17CA35A03F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76</xdr:row>
      <xdr:rowOff>0</xdr:rowOff>
    </xdr:from>
    <xdr:to>
      <xdr:col>6</xdr:col>
      <xdr:colOff>1038225</xdr:colOff>
      <xdr:row>96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9E2BABF-A8E3-4DC2-8A50-C2A204CF450E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0</xdr:colOff>
      <xdr:row>76</xdr:row>
      <xdr:rowOff>0</xdr:rowOff>
    </xdr:from>
    <xdr:to>
      <xdr:col>13</xdr:col>
      <xdr:colOff>907256</xdr:colOff>
      <xdr:row>96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0B2239A-6EB9-42DF-8659-1E1A35639F9A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0</xdr:colOff>
      <xdr:row>76</xdr:row>
      <xdr:rowOff>0</xdr:rowOff>
    </xdr:from>
    <xdr:to>
      <xdr:col>21</xdr:col>
      <xdr:colOff>85725</xdr:colOff>
      <xdr:row>96</xdr:row>
      <xdr:rowOff>95250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5B6D7E-0C63-4B46-B174-A42DC25BED2A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97</xdr:row>
      <xdr:rowOff>0</xdr:rowOff>
    </xdr:from>
    <xdr:to>
      <xdr:col>6</xdr:col>
      <xdr:colOff>1038225</xdr:colOff>
      <xdr:row>117</xdr:row>
      <xdr:rowOff>95250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FFF85757-14B0-47AD-973B-6F12EE061F18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97</xdr:row>
      <xdr:rowOff>0</xdr:rowOff>
    </xdr:from>
    <xdr:to>
      <xdr:col>13</xdr:col>
      <xdr:colOff>907256</xdr:colOff>
      <xdr:row>117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3616529-34C3-4BEA-86A5-12066464283F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0</xdr:colOff>
      <xdr:row>97</xdr:row>
      <xdr:rowOff>0</xdr:rowOff>
    </xdr:from>
    <xdr:to>
      <xdr:col>21</xdr:col>
      <xdr:colOff>85725</xdr:colOff>
      <xdr:row>117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1607089-70E3-47A6-917A-2E5252FAE78E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6</xdr:col>
      <xdr:colOff>771525</xdr:colOff>
      <xdr:row>50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0435D0-94C6-4A66-9ECF-EFCF76510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30</xdr:row>
      <xdr:rowOff>0</xdr:rowOff>
    </xdr:from>
    <xdr:to>
      <xdr:col>13</xdr:col>
      <xdr:colOff>828675</xdr:colOff>
      <xdr:row>50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AA219D-FE32-4DF7-89D2-92ECD53E0541}"/>
            </a:ext>
            <a:ext uri="{147F2762-F138-4A5C-976F-8EAC2B608ADB}">
              <a16:predDERef xmlns:a16="http://schemas.microsoft.com/office/drawing/2014/main" pred="{D50435D0-94C6-4A66-9ECF-EFCF76510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30</xdr:row>
      <xdr:rowOff>0</xdr:rowOff>
    </xdr:from>
    <xdr:to>
      <xdr:col>21</xdr:col>
      <xdr:colOff>428625</xdr:colOff>
      <xdr:row>50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C556E5-2E97-49BE-99E4-FD52456536AA}"/>
            </a:ext>
            <a:ext uri="{147F2762-F138-4A5C-976F-8EAC2B608ADB}">
              <a16:predDERef xmlns:a16="http://schemas.microsoft.com/office/drawing/2014/main" pred="{B3AA219D-FE32-4DF7-89D2-92ECD53E0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6</xdr:col>
      <xdr:colOff>771525</xdr:colOff>
      <xdr:row>72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2E2D249-4EA2-4B7A-B3AD-CB2D6F2EF282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52</xdr:row>
      <xdr:rowOff>0</xdr:rowOff>
    </xdr:from>
    <xdr:to>
      <xdr:col>13</xdr:col>
      <xdr:colOff>828675</xdr:colOff>
      <xdr:row>72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C78EFC7-D95B-459B-A690-A4AFF43360E7}"/>
            </a:ext>
            <a:ext uri="{147F2762-F138-4A5C-976F-8EAC2B608ADB}">
              <a16:predDERef xmlns:a16="http://schemas.microsoft.com/office/drawing/2014/main" pred="{B2E2D249-4EA2-4B7A-B3AD-CB2D6F2E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0</xdr:colOff>
      <xdr:row>52</xdr:row>
      <xdr:rowOff>0</xdr:rowOff>
    </xdr:from>
    <xdr:to>
      <xdr:col>21</xdr:col>
      <xdr:colOff>428625</xdr:colOff>
      <xdr:row>72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25E09C0-DBDA-48B3-B471-0D57CA8464DC}"/>
            </a:ext>
            <a:ext uri="{147F2762-F138-4A5C-976F-8EAC2B608ADB}">
              <a16:predDERef xmlns:a16="http://schemas.microsoft.com/office/drawing/2014/main" pred="{4C78EFC7-D95B-459B-A690-A4AFF4336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6</xdr:col>
      <xdr:colOff>771525</xdr:colOff>
      <xdr:row>93</xdr:row>
      <xdr:rowOff>95251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F50B54-CF0D-402A-873B-C8DCE8DCF87D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0</xdr:colOff>
      <xdr:row>73</xdr:row>
      <xdr:rowOff>0</xdr:rowOff>
    </xdr:from>
    <xdr:to>
      <xdr:col>13</xdr:col>
      <xdr:colOff>826902</xdr:colOff>
      <xdr:row>93</xdr:row>
      <xdr:rowOff>95251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3930F49-145E-4B98-813A-E152B21AC0CA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0</xdr:colOff>
      <xdr:row>73</xdr:row>
      <xdr:rowOff>0</xdr:rowOff>
    </xdr:from>
    <xdr:to>
      <xdr:col>21</xdr:col>
      <xdr:colOff>428181</xdr:colOff>
      <xdr:row>93</xdr:row>
      <xdr:rowOff>95251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63DB3A4-BCA9-46B7-8730-7A2100233012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94</xdr:row>
      <xdr:rowOff>0</xdr:rowOff>
    </xdr:from>
    <xdr:to>
      <xdr:col>6</xdr:col>
      <xdr:colOff>771525</xdr:colOff>
      <xdr:row>114</xdr:row>
      <xdr:rowOff>95250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E043139-D437-470D-B2CC-4F84686EE784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94</xdr:row>
      <xdr:rowOff>0</xdr:rowOff>
    </xdr:from>
    <xdr:to>
      <xdr:col>13</xdr:col>
      <xdr:colOff>826902</xdr:colOff>
      <xdr:row>114</xdr:row>
      <xdr:rowOff>95250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682CDB97-5EAE-46FC-A2E2-FB992828D127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0</xdr:colOff>
      <xdr:row>94</xdr:row>
      <xdr:rowOff>0</xdr:rowOff>
    </xdr:from>
    <xdr:to>
      <xdr:col>21</xdr:col>
      <xdr:colOff>428181</xdr:colOff>
      <xdr:row>114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DF7C8D94-6FC3-426E-86D2-5F9E8FD395DA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52</xdr:row>
      <xdr:rowOff>0</xdr:rowOff>
    </xdr:from>
    <xdr:to>
      <xdr:col>10</xdr:col>
      <xdr:colOff>923925</xdr:colOff>
      <xdr:row>74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4C0582-9232-4EC1-8B28-41EC80EC4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52</xdr:row>
      <xdr:rowOff>0</xdr:rowOff>
    </xdr:from>
    <xdr:to>
      <xdr:col>21</xdr:col>
      <xdr:colOff>400050</xdr:colOff>
      <xdr:row>74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8BB619-B0EC-4D3E-99CD-72BD64F01CD7}"/>
            </a:ext>
            <a:ext uri="{147F2762-F138-4A5C-976F-8EAC2B608ADB}">
              <a16:predDERef xmlns:a16="http://schemas.microsoft.com/office/drawing/2014/main" pred="{324C0582-9232-4EC1-8B28-41EC80EC4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0</xdr:colOff>
      <xdr:row>52</xdr:row>
      <xdr:rowOff>0</xdr:rowOff>
    </xdr:from>
    <xdr:to>
      <xdr:col>39</xdr:col>
      <xdr:colOff>209550</xdr:colOff>
      <xdr:row>74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E34C024-D6D7-4D77-81E8-906A0BE5DDEC}"/>
            </a:ext>
            <a:ext uri="{147F2762-F138-4A5C-976F-8EAC2B608ADB}">
              <a16:predDERef xmlns:a16="http://schemas.microsoft.com/office/drawing/2014/main" pred="{DE8BB619-B0EC-4D3E-99CD-72BD64F01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75</xdr:row>
      <xdr:rowOff>0</xdr:rowOff>
    </xdr:from>
    <xdr:to>
      <xdr:col>10</xdr:col>
      <xdr:colOff>923925</xdr:colOff>
      <xdr:row>97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8516FE6-166F-49B7-A9BA-32E69AD95D0D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75</xdr:row>
      <xdr:rowOff>0</xdr:rowOff>
    </xdr:from>
    <xdr:to>
      <xdr:col>21</xdr:col>
      <xdr:colOff>400050</xdr:colOff>
      <xdr:row>97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02F92DE-405A-4B20-88D6-A872B8023494}"/>
            </a:ext>
            <a:ext uri="{147F2762-F138-4A5C-976F-8EAC2B608ADB}">
              <a16:predDERef xmlns:a16="http://schemas.microsoft.com/office/drawing/2014/main" pred="{B8516FE6-166F-49B7-A9BA-32E69AD95D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0</xdr:colOff>
      <xdr:row>75</xdr:row>
      <xdr:rowOff>0</xdr:rowOff>
    </xdr:from>
    <xdr:to>
      <xdr:col>39</xdr:col>
      <xdr:colOff>209550</xdr:colOff>
      <xdr:row>97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626AE40-CD18-429A-8FE6-E38CAAA37471}"/>
            </a:ext>
            <a:ext uri="{147F2762-F138-4A5C-976F-8EAC2B608ADB}">
              <a16:predDERef xmlns:a16="http://schemas.microsoft.com/office/drawing/2014/main" pred="{302F92DE-405A-4B20-88D6-A872B8023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10</xdr:col>
      <xdr:colOff>923925</xdr:colOff>
      <xdr:row>120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DA95C07-5BE6-4CE4-9DD5-D13717A98357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0</xdr:colOff>
      <xdr:row>98</xdr:row>
      <xdr:rowOff>0</xdr:rowOff>
    </xdr:from>
    <xdr:to>
      <xdr:col>21</xdr:col>
      <xdr:colOff>397248</xdr:colOff>
      <xdr:row>120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6F7B901-5D6D-4E50-97A0-56D568587D81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0</xdr:colOff>
      <xdr:row>98</xdr:row>
      <xdr:rowOff>0</xdr:rowOff>
    </xdr:from>
    <xdr:to>
      <xdr:col>39</xdr:col>
      <xdr:colOff>273983</xdr:colOff>
      <xdr:row>120</xdr:row>
      <xdr:rowOff>38100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269949F-413B-4854-AA93-05D73E56F7D5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121</xdr:row>
      <xdr:rowOff>0</xdr:rowOff>
    </xdr:from>
    <xdr:to>
      <xdr:col>10</xdr:col>
      <xdr:colOff>923925</xdr:colOff>
      <xdr:row>143</xdr:row>
      <xdr:rowOff>38100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C6D3E0C-9719-4109-9614-FC392DACF0F0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11</xdr:col>
      <xdr:colOff>0</xdr:colOff>
      <xdr:row>121</xdr:row>
      <xdr:rowOff>0</xdr:rowOff>
    </xdr:from>
    <xdr:to>
      <xdr:col>21</xdr:col>
      <xdr:colOff>397248</xdr:colOff>
      <xdr:row>143</xdr:row>
      <xdr:rowOff>38100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201E5D59-1309-4EE9-A609-34584C208BC9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22</xdr:col>
      <xdr:colOff>0</xdr:colOff>
      <xdr:row>121</xdr:row>
      <xdr:rowOff>0</xdr:rowOff>
    </xdr:from>
    <xdr:to>
      <xdr:col>39</xdr:col>
      <xdr:colOff>273983</xdr:colOff>
      <xdr:row>143</xdr:row>
      <xdr:rowOff>38100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D5BBA56-20B8-4F9D-A3B9-7D7DFEFC16FC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38100</xdr:rowOff>
    </xdr:from>
    <xdr:to>
      <xdr:col>4</xdr:col>
      <xdr:colOff>981075</xdr:colOff>
      <xdr:row>32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720FD4-A496-A6EB-A780-59AD635FB6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1343025</xdr:colOff>
      <xdr:row>18</xdr:row>
      <xdr:rowOff>57150</xdr:rowOff>
    </xdr:from>
    <xdr:to>
      <xdr:col>9</xdr:col>
      <xdr:colOff>990600</xdr:colOff>
      <xdr:row>32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F6345F8-3EF5-478E-92C6-82F427573216}"/>
            </a:ext>
            <a:ext uri="{147F2762-F138-4A5C-976F-8EAC2B608ADB}">
              <a16:predDERef xmlns:a16="http://schemas.microsoft.com/office/drawing/2014/main" pred="{BD720FD4-A496-A6EB-A780-59AD635FB6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304800</xdr:colOff>
      <xdr:row>18</xdr:row>
      <xdr:rowOff>57150</xdr:rowOff>
    </xdr:from>
    <xdr:to>
      <xdr:col>14</xdr:col>
      <xdr:colOff>504825</xdr:colOff>
      <xdr:row>32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1D614FD-8C2A-404A-8033-6A5D3272E8C8}"/>
            </a:ext>
            <a:ext uri="{147F2762-F138-4A5C-976F-8EAC2B608ADB}">
              <a16:predDERef xmlns:a16="http://schemas.microsoft.com/office/drawing/2014/main" pred="{AF6345F8-3EF5-478E-92C6-82F427573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35</xdr:row>
      <xdr:rowOff>0</xdr:rowOff>
    </xdr:from>
    <xdr:to>
      <xdr:col>4</xdr:col>
      <xdr:colOff>981075</xdr:colOff>
      <xdr:row>49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73CE89-D14D-4957-8BB0-84F451D2FF0C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35</xdr:row>
      <xdr:rowOff>0</xdr:rowOff>
    </xdr:from>
    <xdr:to>
      <xdr:col>9</xdr:col>
      <xdr:colOff>1000125</xdr:colOff>
      <xdr:row>49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9AD6195-9B55-440D-B2EE-A3EBA71942FF}"/>
            </a:ext>
            <a:ext uri="{147F2762-F138-4A5C-976F-8EAC2B608ADB}">
              <a16:predDERef xmlns:a16="http://schemas.microsoft.com/office/drawing/2014/main" pred="{0073CE89-D14D-4957-8BB0-84F451D2FF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295275</xdr:colOff>
      <xdr:row>35</xdr:row>
      <xdr:rowOff>0</xdr:rowOff>
    </xdr:from>
    <xdr:to>
      <xdr:col>14</xdr:col>
      <xdr:colOff>495300</xdr:colOff>
      <xdr:row>49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68FFBCE-A272-4024-96C6-077F47C98DFE}"/>
            </a:ext>
            <a:ext uri="{147F2762-F138-4A5C-976F-8EAC2B608ADB}">
              <a16:predDERef xmlns:a16="http://schemas.microsoft.com/office/drawing/2014/main" pred="{09AD6195-9B55-440D-B2EE-A3EBA7194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4</xdr:col>
      <xdr:colOff>981075</xdr:colOff>
      <xdr:row>64</xdr:row>
      <xdr:rowOff>76199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C0CBCFE-FD57-4BC7-B6D5-722A83DBEAD0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0</xdr:colOff>
      <xdr:row>50</xdr:row>
      <xdr:rowOff>0</xdr:rowOff>
    </xdr:from>
    <xdr:to>
      <xdr:col>9</xdr:col>
      <xdr:colOff>1003226</xdr:colOff>
      <xdr:row>64</xdr:row>
      <xdr:rowOff>76199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9DB97AA-4ABF-45F6-B0D3-A090F5F4F0F3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299041</xdr:colOff>
      <xdr:row>50</xdr:row>
      <xdr:rowOff>11076</xdr:rowOff>
    </xdr:from>
    <xdr:to>
      <xdr:col>14</xdr:col>
      <xdr:colOff>504825</xdr:colOff>
      <xdr:row>64</xdr:row>
      <xdr:rowOff>87275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2EA1ACE-29EC-4719-BC44-0961951F3CC8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65</xdr:row>
      <xdr:rowOff>0</xdr:rowOff>
    </xdr:from>
    <xdr:to>
      <xdr:col>4</xdr:col>
      <xdr:colOff>981075</xdr:colOff>
      <xdr:row>79</xdr:row>
      <xdr:rowOff>76199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8659F79-DBC7-4413-8F63-8C44D102CDFE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0</xdr:colOff>
      <xdr:row>65</xdr:row>
      <xdr:rowOff>0</xdr:rowOff>
    </xdr:from>
    <xdr:to>
      <xdr:col>9</xdr:col>
      <xdr:colOff>1003226</xdr:colOff>
      <xdr:row>79</xdr:row>
      <xdr:rowOff>76199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AD1A415-993A-4E1F-9C4C-BF9D4C481BF0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287966</xdr:colOff>
      <xdr:row>65</xdr:row>
      <xdr:rowOff>0</xdr:rowOff>
    </xdr:from>
    <xdr:to>
      <xdr:col>14</xdr:col>
      <xdr:colOff>493750</xdr:colOff>
      <xdr:row>79</xdr:row>
      <xdr:rowOff>76199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2FC22B9-F82E-4294-A4F5-85DC0DC96288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24</xdr:row>
      <xdr:rowOff>19050</xdr:rowOff>
    </xdr:from>
    <xdr:to>
      <xdr:col>5</xdr:col>
      <xdr:colOff>609600</xdr:colOff>
      <xdr:row>44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9683E6-3CFB-4CE7-940B-0D92AF1B8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24</xdr:row>
      <xdr:rowOff>0</xdr:rowOff>
    </xdr:from>
    <xdr:to>
      <xdr:col>11</xdr:col>
      <xdr:colOff>733425</xdr:colOff>
      <xdr:row>44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3C9419-204D-4147-AB59-213AD2CC6939}"/>
            </a:ext>
            <a:ext uri="{147F2762-F138-4A5C-976F-8EAC2B608ADB}">
              <a16:predDERef xmlns:a16="http://schemas.microsoft.com/office/drawing/2014/main" pred="{4A9683E6-3CFB-4CE7-940B-0D92AF1B8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24</xdr:row>
      <xdr:rowOff>0</xdr:rowOff>
    </xdr:from>
    <xdr:to>
      <xdr:col>17</xdr:col>
      <xdr:colOff>1104900</xdr:colOff>
      <xdr:row>44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AB73397-8455-4A7B-884F-1735FA4C872A}"/>
            </a:ext>
            <a:ext uri="{147F2762-F138-4A5C-976F-8EAC2B608ADB}">
              <a16:predDERef xmlns:a16="http://schemas.microsoft.com/office/drawing/2014/main" pred="{933C9419-204D-4147-AB59-213AD2CC69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5</xdr:col>
      <xdr:colOff>676275</xdr:colOff>
      <xdr:row>67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2BF7A1F-4E83-4B5D-B979-DC6B2CDA3E7D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47</xdr:row>
      <xdr:rowOff>0</xdr:rowOff>
    </xdr:from>
    <xdr:to>
      <xdr:col>11</xdr:col>
      <xdr:colOff>733425</xdr:colOff>
      <xdr:row>67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A2B87FF-A142-460F-AB64-F32A32F307E7}"/>
            </a:ext>
            <a:ext uri="{147F2762-F138-4A5C-976F-8EAC2B608ADB}">
              <a16:predDERef xmlns:a16="http://schemas.microsoft.com/office/drawing/2014/main" pred="{F2BF7A1F-4E83-4B5D-B979-DC6B2CDA3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47</xdr:row>
      <xdr:rowOff>0</xdr:rowOff>
    </xdr:from>
    <xdr:to>
      <xdr:col>17</xdr:col>
      <xdr:colOff>1104900</xdr:colOff>
      <xdr:row>67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830525B-D0D7-4955-8376-93FA6F48F82B}"/>
            </a:ext>
            <a:ext uri="{147F2762-F138-4A5C-976F-8EAC2B608ADB}">
              <a16:predDERef xmlns:a16="http://schemas.microsoft.com/office/drawing/2014/main" pred="{DA2B87FF-A142-460F-AB64-F32A32F30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5</xdr:col>
      <xdr:colOff>676275</xdr:colOff>
      <xdr:row>89</xdr:row>
      <xdr:rowOff>142874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8EFC47A-7350-41F2-96A5-173B9EC6071D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69</xdr:row>
      <xdr:rowOff>0</xdr:rowOff>
    </xdr:from>
    <xdr:to>
      <xdr:col>11</xdr:col>
      <xdr:colOff>731652</xdr:colOff>
      <xdr:row>89</xdr:row>
      <xdr:rowOff>142874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9FE8050-7ECB-42F7-BC0F-F82BD9EE0211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0</xdr:colOff>
      <xdr:row>69</xdr:row>
      <xdr:rowOff>0</xdr:rowOff>
    </xdr:from>
    <xdr:to>
      <xdr:col>17</xdr:col>
      <xdr:colOff>1108222</xdr:colOff>
      <xdr:row>89</xdr:row>
      <xdr:rowOff>142874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3FB37A0-06B8-408D-971A-66C895E40C66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91</xdr:row>
      <xdr:rowOff>0</xdr:rowOff>
    </xdr:from>
    <xdr:to>
      <xdr:col>5</xdr:col>
      <xdr:colOff>676275</xdr:colOff>
      <xdr:row>111</xdr:row>
      <xdr:rowOff>142874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75E3D353-8E19-4B5A-9BA7-FDC913B84396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91</xdr:row>
      <xdr:rowOff>0</xdr:rowOff>
    </xdr:from>
    <xdr:to>
      <xdr:col>11</xdr:col>
      <xdr:colOff>731652</xdr:colOff>
      <xdr:row>111</xdr:row>
      <xdr:rowOff>142874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D523D5A9-CD36-4E69-B72A-16A30AEEA2E1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91</xdr:row>
      <xdr:rowOff>0</xdr:rowOff>
    </xdr:from>
    <xdr:to>
      <xdr:col>17</xdr:col>
      <xdr:colOff>1108222</xdr:colOff>
      <xdr:row>111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9643B8EB-7380-4AC0-9E94-1D890EFD5090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seph Lynch" id="{7D78B2C2-0FE6-4942-B6F3-4BF80D68E1F9}" userId="S::jlynch@tlcnj.com::eaceab13-3f1e-4dca-8f13-2622c6797e3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P18" dT="2025-02-04T20:37:25.93" personId="{7D78B2C2-0FE6-4942-B6F3-4BF80D68E1F9}" id="{206EC38A-1469-44AA-BB21-6A1A938CA2DA}">
    <text>See color coded sheet DEPT 68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2DC63-E6D8-4785-8379-26ABCBDBAB98}">
  <sheetPr codeName="Sheet1">
    <pageSetUpPr fitToPage="1"/>
  </sheetPr>
  <dimension ref="A1:AU66"/>
  <sheetViews>
    <sheetView tabSelected="1" zoomScale="86" zoomScaleNormal="86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1" sqref="B21"/>
    </sheetView>
  </sheetViews>
  <sheetFormatPr defaultColWidth="13.85546875" defaultRowHeight="15" x14ac:dyDescent="0.25"/>
  <cols>
    <col min="1" max="1" width="21.7109375" style="4" bestFit="1" customWidth="1"/>
    <col min="2" max="2" width="9.140625" style="4" bestFit="1" customWidth="1"/>
    <col min="3" max="5" width="12.5703125" style="4" bestFit="1" customWidth="1"/>
    <col min="6" max="6" width="11.7109375" style="4" bestFit="1" customWidth="1"/>
    <col min="7" max="7" width="13.5703125" style="4" bestFit="1" customWidth="1"/>
    <col min="8" max="8" width="13.28515625" style="4" bestFit="1" customWidth="1"/>
    <col min="9" max="9" width="15.42578125" style="4" customWidth="1"/>
    <col min="10" max="10" width="12.5703125" style="4" bestFit="1" customWidth="1"/>
    <col min="11" max="11" width="9.7109375" style="4" bestFit="1" customWidth="1"/>
    <col min="12" max="12" width="9.5703125" style="4" customWidth="1"/>
    <col min="13" max="13" width="9.7109375" style="4" bestFit="1" customWidth="1"/>
    <col min="14" max="14" width="10.7109375" style="4" bestFit="1" customWidth="1"/>
    <col min="15" max="17" width="12.5703125" style="4" bestFit="1" customWidth="1"/>
    <col min="18" max="18" width="11.7109375" style="4" bestFit="1" customWidth="1"/>
    <col min="19" max="19" width="13.5703125" style="4" bestFit="1" customWidth="1"/>
    <col min="20" max="20" width="13.28515625" style="4" bestFit="1" customWidth="1"/>
    <col min="21" max="21" width="13.42578125" style="4" bestFit="1" customWidth="1"/>
    <col min="22" max="22" width="12.5703125" style="4" bestFit="1" customWidth="1"/>
    <col min="23" max="23" width="9.7109375" style="4" bestFit="1" customWidth="1"/>
    <col min="24" max="26" width="9.7109375" style="4" customWidth="1"/>
    <col min="27" max="27" width="13.5703125" style="4" bestFit="1" customWidth="1"/>
    <col min="28" max="28" width="13.5703125" style="4" customWidth="1"/>
    <col min="29" max="30" width="12.5703125" style="4" bestFit="1" customWidth="1"/>
    <col min="31" max="31" width="11.7109375" style="4" bestFit="1" customWidth="1"/>
    <col min="32" max="32" width="13.5703125" style="4" bestFit="1" customWidth="1"/>
    <col min="33" max="33" width="13.28515625" style="4" bestFit="1" customWidth="1"/>
    <col min="34" max="34" width="13.42578125" style="4" bestFit="1" customWidth="1"/>
    <col min="35" max="35" width="12.5703125" bestFit="1" customWidth="1"/>
    <col min="36" max="36" width="9.7109375" bestFit="1" customWidth="1"/>
    <col min="40" max="41" width="17.140625" customWidth="1"/>
    <col min="42" max="42" width="21" customWidth="1"/>
    <col min="43" max="43" width="13.28515625" customWidth="1"/>
  </cols>
  <sheetData>
    <row r="1" spans="1:47" ht="17.25" thickBot="1" x14ac:dyDescent="0.3">
      <c r="A1" s="162" t="s">
        <v>129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</row>
    <row r="2" spans="1:47" ht="29.25" thickBot="1" x14ac:dyDescent="0.3">
      <c r="A2" s="7" t="s">
        <v>0</v>
      </c>
      <c r="B2" s="8" t="s">
        <v>1</v>
      </c>
      <c r="C2" s="8" t="s">
        <v>130</v>
      </c>
      <c r="D2" s="8" t="s">
        <v>131</v>
      </c>
      <c r="E2" s="8" t="s">
        <v>132</v>
      </c>
      <c r="F2" s="8" t="s">
        <v>133</v>
      </c>
      <c r="G2" s="8" t="s">
        <v>134</v>
      </c>
      <c r="H2" s="8" t="s">
        <v>135</v>
      </c>
      <c r="I2" s="122" t="s">
        <v>136</v>
      </c>
      <c r="J2" s="58" t="s">
        <v>137</v>
      </c>
      <c r="K2" s="122" t="s">
        <v>138</v>
      </c>
      <c r="L2" s="58" t="s">
        <v>139</v>
      </c>
      <c r="M2" s="58" t="s">
        <v>140</v>
      </c>
      <c r="N2" s="58" t="s">
        <v>141</v>
      </c>
      <c r="O2" s="58" t="s">
        <v>97</v>
      </c>
      <c r="P2" s="8" t="s">
        <v>98</v>
      </c>
      <c r="Q2" s="8" t="s">
        <v>99</v>
      </c>
      <c r="R2" s="8" t="s">
        <v>100</v>
      </c>
      <c r="S2" s="8" t="s">
        <v>101</v>
      </c>
      <c r="T2" s="8" t="s">
        <v>102</v>
      </c>
      <c r="U2" s="58" t="s">
        <v>103</v>
      </c>
      <c r="V2" s="58" t="s">
        <v>104</v>
      </c>
      <c r="W2" s="58" t="s">
        <v>105</v>
      </c>
      <c r="X2" s="58" t="s">
        <v>106</v>
      </c>
      <c r="Y2" s="58" t="s">
        <v>107</v>
      </c>
      <c r="Z2" s="58" t="s">
        <v>108</v>
      </c>
      <c r="AA2" s="58" t="s">
        <v>11</v>
      </c>
      <c r="AB2" s="58" t="s">
        <v>2</v>
      </c>
      <c r="AC2" s="8" t="s">
        <v>3</v>
      </c>
      <c r="AD2" s="8" t="s">
        <v>4</v>
      </c>
      <c r="AE2" s="8" t="s">
        <v>5</v>
      </c>
      <c r="AF2" s="8" t="s">
        <v>6</v>
      </c>
      <c r="AG2" s="8" t="s">
        <v>7</v>
      </c>
      <c r="AH2" s="58" t="s">
        <v>8</v>
      </c>
      <c r="AI2" s="58" t="s">
        <v>9</v>
      </c>
      <c r="AJ2" s="58" t="s">
        <v>10</v>
      </c>
      <c r="AK2" s="58" t="s">
        <v>93</v>
      </c>
      <c r="AL2" s="58" t="s">
        <v>94</v>
      </c>
      <c r="AM2" s="127" t="s">
        <v>95</v>
      </c>
      <c r="AN2" s="142" t="s">
        <v>109</v>
      </c>
      <c r="AO2" s="138" t="s">
        <v>110</v>
      </c>
      <c r="AP2" s="138" t="s">
        <v>142</v>
      </c>
      <c r="AR2" s="138"/>
      <c r="AS2" s="4"/>
      <c r="AT2" s="4"/>
      <c r="AU2" s="4"/>
    </row>
    <row r="3" spans="1:47" s="9" customFormat="1" ht="16.5" x14ac:dyDescent="0.3">
      <c r="A3" s="93" t="s">
        <v>12</v>
      </c>
      <c r="B3" s="95">
        <f>'BM -ALL- Stock'!C32</f>
        <v>4.2896585685258479</v>
      </c>
      <c r="C3" s="94">
        <f>'BM -ALL- Stock'!D32</f>
        <v>460294.22</v>
      </c>
      <c r="D3" s="94">
        <f>SUM('BM -ALL- Stock'!D2,'BM -ALL- Stock'!D5,'BM -ALL- Stock'!D8,'BM -ALL- Stock'!D11,'BM -ALL- Stock'!D14,'BM -ALL- Stock'!D17,'BM -ALL- Stock'!D20,'BM -ALL- Stock'!D23,'BM -ALL- Stock'!D26,'BM -ALL- Stock'!D29)</f>
        <v>126092.51999999999</v>
      </c>
      <c r="E3" s="94">
        <f>SUM('BM -ALL- Stock'!D3,'BM -ALL- Stock'!D6,'BM -ALL- Stock'!D9,'BM -ALL- Stock'!D12,'BM -ALL- Stock'!D15,'BM -ALL- Stock'!D18,'BM -ALL- Stock'!D21,'BM -ALL- Stock'!D24,'BM -ALL- Stock'!D27,'BM -ALL- Stock'!D30)</f>
        <v>334201.69999999995</v>
      </c>
      <c r="F3" s="94">
        <f>SUM('BM -ALL- Stock'!D4,'BM -ALL- Stock'!D7,'BM -ALL- Stock'!D10,'BM -ALL- Stock'!D13,'BM -ALL- Stock'!D16,'BM -ALL- Stock'!D19,'BM -ALL- Stock'!D22,'BM -ALL- Stock'!D25,'BM -ALL- Stock'!D28,'BM -ALL- Stock'!D31)</f>
        <v>0</v>
      </c>
      <c r="G3" s="94">
        <f>'BM -ALL- Stock'!E32</f>
        <v>98117.28</v>
      </c>
      <c r="H3" s="94">
        <f>'BM -ALL- Stock'!F32</f>
        <v>107303.23000000003</v>
      </c>
      <c r="I3" s="94">
        <f>'BM -ALL- Stock'!G32</f>
        <v>148986.6</v>
      </c>
      <c r="J3" s="94">
        <f>'BM -ALL- Stock'!H32</f>
        <v>41683.369999999988</v>
      </c>
      <c r="K3" s="102">
        <f>'BM -ALL- Stock'!I32</f>
        <v>0.28000000000000003</v>
      </c>
      <c r="L3" s="102">
        <f>ROUND((1 - SUM('BM -ALL- Stock'!F2,'BM -ALL- Stock'!F5,'BM -ALL- Stock'!F8,'BM -ALL- Stock'!F11,'BM -ALL- Stock'!F14,'BM -ALL- Stock'!F17,'BM -ALL- Stock'!F20,'BM -ALL- Stock'!F23,'BM -ALL- Stock'!F26,'BM -ALL- Stock'!F29 )/SUM('BM -ALL- Stock'!G2,'BM -ALL- Stock'!G5,'BM -ALL- Stock'!G8,'BM -ALL- Stock'!G11,'BM -ALL- Stock'!G14,'BM -ALL- Stock'!G17,'BM -ALL- Stock'!G20,'BM -ALL- Stock'!G23,'BM -ALL- Stock'!G26,'BM -ALL- Stock'!G29 )), 3)</f>
        <v>0.316</v>
      </c>
      <c r="M3" s="102">
        <f>ROUND((1 - SUM('BM -ALL- Stock'!F3,'BM -ALL- Stock'!F6,'BM -ALL- Stock'!F9,'BM -ALL- Stock'!F12,'BM -ALL- Stock'!F15,'BM -ALL- Stock'!F18,'BM -ALL- Stock'!F21,'BM -ALL- Stock'!F24,'BM -ALL- Stock'!F27,'BM -ALL- Stock'!F30) / SUM('BM -ALL- Stock'!G3,'BM -ALL- Stock'!G6,'BM -ALL- Stock'!G9,'BM -ALL- Stock'!G12,'BM -ALL- Stock'!G15,'BM -ALL- Stock'!G18,'BM -ALL- Stock'!G21,'BM -ALL- Stock'!G24,'BM -ALL- Stock'!G27,'BM -ALL- Stock'!G30)), 3)</f>
        <v>0.26100000000000001</v>
      </c>
      <c r="N3" s="102" t="e">
        <f>ROUND((1 - SUM('BM -ALL- Stock'!F4,'BM -ALL- Stock'!F7,'BM -ALL- Stock'!F10,'BM -ALL- Stock'!F13,'BM -ALL- Stock'!F16,'BM -ALL- Stock'!F19,'BM -ALL- Stock'!F22,'BM -ALL- Stock'!F25,'BM -ALL- Stock'!F28,'BM -ALL- Stock'!F31) / SUM('BM -ALL- Stock'!G4,'BM -ALL- Stock'!G7,'BM -ALL- Stock'!G10,'BM -ALL- Stock'!G13,'BM -ALL- Stock'!G16,'BM -ALL- Stock'!G19,'BM -ALL- Stock'!G22,'BM -ALL- Stock'!G25,'BM -ALL- Stock'!G28,'BM -ALL- Stock'!G31)), 3)</f>
        <v>#DIV/0!</v>
      </c>
      <c r="O3" s="113">
        <f>'BM -ALL- Stock'!J32</f>
        <v>529301.23</v>
      </c>
      <c r="P3" s="94">
        <f>SUM('BM -ALL- Stock'!J2,'BM -ALL- Stock'!J5,'BM -ALL- Stock'!J8,'BM -ALL- Stock'!J11,'BM -ALL- Stock'!J14,'BM -ALL- Stock'!J17,'BM -ALL- Stock'!J20,'BM -ALL- Stock'!J23,'BM -ALL- Stock'!J26,'BM -ALL- Stock'!J29)</f>
        <v>152442.04999999999</v>
      </c>
      <c r="Q3" s="94">
        <f>SUM('BM -ALL- Stock'!J3,'BM -ALL- Stock'!J6,'BM -ALL- Stock'!J9,'BM -ALL- Stock'!J12,'BM -ALL- Stock'!J15,'BM -ALL- Stock'!J18,'BM -ALL- Stock'!J21,'BM -ALL- Stock'!J24,'BM -ALL- Stock'!J27,'BM -ALL- Stock'!J30)</f>
        <v>375942.21</v>
      </c>
      <c r="R3" s="94">
        <f>SUM('BM -ALL- Stock'!J4,'BM -ALL- Stock'!J7,'BM -ALL- Stock'!J10,'BM -ALL- Stock'!J13,'BM -ALL- Stock'!J16,'BM -ALL- Stock'!J19,'BM -ALL- Stock'!J22,'BM -ALL- Stock'!J25,'BM -ALL- Stock'!J28,'BM -ALL- Stock'!J31)</f>
        <v>916.97</v>
      </c>
      <c r="S3" s="94">
        <f>'BM -ALL- Stock'!K32</f>
        <v>151072.56</v>
      </c>
      <c r="T3" s="94">
        <f>'BM -ALL- Stock'!L32</f>
        <v>68128.289999999994</v>
      </c>
      <c r="U3" s="94">
        <f>'BM -ALL- Stock'!M32</f>
        <v>99407.260000000009</v>
      </c>
      <c r="V3" s="94">
        <f>'BM -ALL- Stock'!N32</f>
        <v>31278.969999999998</v>
      </c>
      <c r="W3" s="102">
        <f>'BM -ALL- Stock'!O32</f>
        <v>0.315</v>
      </c>
      <c r="X3" s="102">
        <f>ROUND((1 - SUM('BM -ALL- Stock'!L2,'BM -ALL- Stock'!L5,'BM -ALL- Stock'!L8,'BM -ALL- Stock'!L11,'BM -ALL- Stock'!L14,'BM -ALL- Stock'!L17,'BM -ALL- Stock'!L20,'BM -ALL- Stock'!L23,'BM -ALL- Stock'!L26,'BM -ALL- Stock'!L29) / SUM('BM -ALL- Stock'!M2,'BM -ALL- Stock'!M5,'BM -ALL- Stock'!M8,'BM -ALL- Stock'!M11,'BM -ALL- Stock'!M14,'BM -ALL- Stock'!M17,'BM -ALL- Stock'!M20,'BM -ALL- Stock'!M23,'BM -ALL- Stock'!M26,'BM -ALL- Stock'!M29)), 3)</f>
        <v>0.33700000000000002</v>
      </c>
      <c r="Y3" s="102">
        <f>ROUND((1 - SUM('BM -ALL- Stock'!L3,'BM -ALL- Stock'!L6,'BM -ALL- Stock'!L9,'BM -ALL- Stock'!L12,'BM -ALL- Stock'!L15,'BM -ALL- Stock'!L18,'BM -ALL- Stock'!L21,'BM -ALL- Stock'!L24,'BM -ALL- Stock'!L27,'BM -ALL- Stock'!L30) / SUM('BM -ALL- Stock'!M3,'BM -ALL- Stock'!M6,'BM -ALL- Stock'!M9,'BM -ALL- Stock'!M12,'BM -ALL- Stock'!M15,'BM -ALL- Stock'!M18,'BM -ALL- Stock'!M21,'BM -ALL- Stock'!M24,'BM -ALL- Stock'!M27,'BM -ALL- Stock'!M30)), 3)</f>
        <v>0.29099999999999998</v>
      </c>
      <c r="Z3" s="102" t="e">
        <f>ROUND((1 - SUM('BM -ALL- Stock'!L4,'BM -ALL- Stock'!L7,'BM -ALL- Stock'!L10,'BM -ALL- Stock'!L13,'BM -ALL- Stock'!L16,'BM -ALL- Stock'!L19,'BM -ALL- Stock'!L22,'BM -ALL- Stock'!L25,'BM -ALL- Stock'!L28,'BM -ALL- Stock'!L31) / SUM('BM -ALL- Stock'!M4,'BM -ALL- Stock'!M7,'BM -ALL- Stock'!M10,'BM -ALL- Stock'!M13,'BM -ALL- Stock'!M16,'BM -ALL- Stock'!M19,'BM -ALL- Stock'!M22,'BM -ALL- Stock'!M25,'BM -ALL- Stock'!M28,'BM -ALL- Stock'!M31)), 3)</f>
        <v>#DIV/0!</v>
      </c>
      <c r="AA3" s="94">
        <f>'BM -ALL- Stock'!P32</f>
        <v>2255658</v>
      </c>
      <c r="AB3" s="94">
        <f>'BM -ALL- Stock'!Q32</f>
        <v>492639.74999999994</v>
      </c>
      <c r="AC3" s="94">
        <f>SUM('BM -ALL- Stock'!Q2,'BM -ALL- Stock'!Q5,'BM -ALL- Stock'!Q8,'BM -ALL- Stock'!Q11,'BM -ALL- Stock'!Q14,'BM -ALL- Stock'!Q17,'BM -ALL- Stock'!Q20,'BM -ALL- Stock'!Q23,'BM -ALL- Stock'!Q26,'BM -ALL- Stock'!Q29)</f>
        <v>105103.06</v>
      </c>
      <c r="AD3" s="94">
        <f>SUM('BM -ALL- Stock'!Q3,'BM -ALL- Stock'!Q6,'BM -ALL- Stock'!Q9,'BM -ALL- Stock'!Q12,'BM -ALL- Stock'!Q15,'BM -ALL- Stock'!Q18,'BM -ALL- Stock'!Q21,'BM -ALL- Stock'!Q24,'BM -ALL- Stock'!Q27,'BM -ALL- Stock'!Q30)</f>
        <v>387536.69</v>
      </c>
      <c r="AE3" s="94">
        <f>SUM('BM -ALL- Stock'!Q4,'BM -ALL- Stock'!Q7,'BM -ALL- Stock'!Q10,'BM -ALL- Stock'!Q13,'BM -ALL- Stock'!Q16,'BM -ALL- Stock'!Q19,'BM -ALL- Stock'!Q22,'BM -ALL- Stock'!Q25,'BM -ALL- Stock'!Q28,'BM -ALL- Stock'!Q31)</f>
        <v>0</v>
      </c>
      <c r="AF3" s="94">
        <f>'BM -ALL- Stock'!R32</f>
        <v>124072.47</v>
      </c>
      <c r="AG3" s="94">
        <f>'BM -ALL- Stock'!S32</f>
        <v>110662.71</v>
      </c>
      <c r="AH3" s="94">
        <f>'BM -ALL- Stock'!T32</f>
        <v>155514.93</v>
      </c>
      <c r="AI3" s="94">
        <f>'BM -ALL- Stock'!U32</f>
        <v>44852.22</v>
      </c>
      <c r="AJ3" s="124">
        <f>'BM -ALL- Stock'!V32</f>
        <v>0.28799999999999998</v>
      </c>
      <c r="AK3" s="102">
        <f>ROUND((1 - SUM('BM -ALL- Stock'!S2,'BM -ALL- Stock'!S5,'BM -ALL- Stock'!S8,'BM -ALL- Stock'!S11,'BM -ALL- Stock'!S14,'BM -ALL- Stock'!S17,'BM -ALL- Stock'!S20,'BM -ALL- Stock'!S23,'BM -ALL- Stock'!S26,'BM -ALL- Stock'!S29) / SUM('BM -ALL- Stock'!T2,'BM -ALL- Stock'!T5,'BM -ALL- Stock'!T8,'BM -ALL- Stock'!T11,'BM -ALL- Stock'!T14,'BM -ALL- Stock'!T17,'BM -ALL- Stock'!T20,'BM -ALL- Stock'!T23,'BM -ALL- Stock'!T26,'BM -ALL- Stock'!T29)), 3)</f>
        <v>0.32</v>
      </c>
      <c r="AL3" s="102">
        <f>ROUND((1 - SUM('BM -ALL- Stock'!S3,'BM -ALL- Stock'!S6,'BM -ALL- Stock'!S9,'BM -ALL- Stock'!S12,'BM -ALL- Stock'!S15,'BM -ALL- Stock'!S18,'BM -ALL- Stock'!S21,'BM -ALL- Stock'!S24,'BM -ALL- Stock'!S27,'BM -ALL- Stock'!S30) / SUM('BM -ALL- Stock'!T3,'BM -ALL- Stock'!T6,'BM -ALL- Stock'!T9,'BM -ALL- Stock'!T12,'BM -ALL- Stock'!T15,'BM -ALL- Stock'!T18,'BM -ALL- Stock'!T21,'BM -ALL- Stock'!T24,'BM -ALL- Stock'!T27,'BM -ALL- Stock'!T30)), 3)</f>
        <v>0.26700000000000002</v>
      </c>
      <c r="AM3" s="111" t="e">
        <f>ROUND((1 - SUM('BM -ALL- Stock'!S4,'BM -ALL- Stock'!S7,'BM -ALL- Stock'!S10,'BM -ALL- Stock'!S13,'BM -ALL- Stock'!S16,'BM -ALL- Stock'!S19,'BM -ALL- Stock'!S22,'BM -ALL- Stock'!S25,'BM -ALL- Stock'!S28,'BM -ALL- Stock'!S31) / SUM('BM -ALL- Stock'!T4,'BM -ALL- Stock'!T7,'BM -ALL- Stock'!T10,'BM -ALL- Stock'!T13,'BM -ALL- Stock'!T16,'BM -ALL- Stock'!T19,'BM -ALL- Stock'!T22,'BM -ALL- Stock'!T25,'BM -ALL- Stock'!T28,'BM -ALL- Stock'!T31)), 3)</f>
        <v>#DIV/0!</v>
      </c>
      <c r="AN3" s="143">
        <f>$C$3</f>
        <v>460294.22</v>
      </c>
      <c r="AO3" s="143"/>
      <c r="AP3" s="139"/>
    </row>
    <row r="4" spans="1:47" s="9" customFormat="1" ht="16.5" x14ac:dyDescent="0.3">
      <c r="A4" s="93" t="s">
        <v>13</v>
      </c>
      <c r="B4" s="95">
        <f>'BM -ALL- Stock'!C32</f>
        <v>4.2896585685258479</v>
      </c>
      <c r="C4" s="94">
        <f>'BM -ALL- Stock'!D32</f>
        <v>460294.22</v>
      </c>
      <c r="D4" s="94">
        <f>SUM('BM -ALL- Stock'!D2,'BM -ALL- Stock'!D5,'BM -ALL- Stock'!D8,'BM -ALL- Stock'!D11,'BM -ALL- Stock'!D14,'BM -ALL- Stock'!D17,'BM -ALL- Stock'!D20,'BM -ALL- Stock'!D23,'BM -ALL- Stock'!D26,'BM -ALL- Stock'!D29)</f>
        <v>126092.51999999999</v>
      </c>
      <c r="E4" s="94">
        <f>SUM('BM -ALL- Stock'!D3,'BM -ALL- Stock'!D6,'BM -ALL- Stock'!D9,'BM -ALL- Stock'!D12,'BM -ALL- Stock'!D15,'BM -ALL- Stock'!D18,'BM -ALL- Stock'!D21,'BM -ALL- Stock'!D24,'BM -ALL- Stock'!D27,'BM -ALL- Stock'!D30)</f>
        <v>334201.69999999995</v>
      </c>
      <c r="F4" s="94">
        <f>SUM('BM -ALL- Stock'!D4,'BM -ALL- Stock'!D7,'BM -ALL- Stock'!D10,'BM -ALL- Stock'!D13,'BM -ALL- Stock'!D16,'BM -ALL- Stock'!D19,'BM -ALL- Stock'!D22,'BM -ALL- Stock'!D25,'BM -ALL- Stock'!D28,'BM -ALL- Stock'!D31)</f>
        <v>0</v>
      </c>
      <c r="G4" s="94">
        <f>'BM -ALL- Stock'!E32</f>
        <v>98117.28</v>
      </c>
      <c r="H4" s="94">
        <f>'BM -ALL- Stock'!F32</f>
        <v>107303.23000000003</v>
      </c>
      <c r="I4" s="94">
        <f>'BM -ALL- Stock'!G32</f>
        <v>148986.6</v>
      </c>
      <c r="J4" s="94">
        <f>'BM -ALL- Stock'!H32</f>
        <v>41683.369999999988</v>
      </c>
      <c r="K4" s="102">
        <f>'BM -ALL- Stock'!I32</f>
        <v>0.28000000000000003</v>
      </c>
      <c r="L4" s="102">
        <f>ROUND((1 - SUM('BM -ALL- Stock'!F2,'BM -ALL- Stock'!F5,'BM -ALL- Stock'!F8,'BM -ALL- Stock'!F11,'BM -ALL- Stock'!F14,'BM -ALL- Stock'!F17,'BM -ALL- Stock'!F20,'BM -ALL- Stock'!F23,'BM -ALL- Stock'!F26,'BM -ALL- Stock'!F29 )/SUM('BM -ALL- Stock'!G2,'BM -ALL- Stock'!G5,'BM -ALL- Stock'!G8,'BM -ALL- Stock'!G11,'BM -ALL- Stock'!G14,'BM -ALL- Stock'!G17,'BM -ALL- Stock'!G20,'BM -ALL- Stock'!G23,'BM -ALL- Stock'!G26,'BM -ALL- Stock'!G29 )), 3)</f>
        <v>0.316</v>
      </c>
      <c r="M4" s="102">
        <f>ROUND((1 - SUM('BM -ALL- Stock'!F3,'BM -ALL- Stock'!F6,'BM -ALL- Stock'!F9,'BM -ALL- Stock'!F12,'BM -ALL- Stock'!F15,'BM -ALL- Stock'!F18,'BM -ALL- Stock'!F21,'BM -ALL- Stock'!F24,'BM -ALL- Stock'!F27,'BM -ALL- Stock'!F30) / SUM('BM -ALL- Stock'!G3,'BM -ALL- Stock'!G6,'BM -ALL- Stock'!G9,'BM -ALL- Stock'!G12,'BM -ALL- Stock'!G15,'BM -ALL- Stock'!G18,'BM -ALL- Stock'!G21,'BM -ALL- Stock'!G24,'BM -ALL- Stock'!G27,'BM -ALL- Stock'!G30)), 3)</f>
        <v>0.26100000000000001</v>
      </c>
      <c r="N4" s="102" t="e">
        <f>ROUND((1 - SUM('BM -ALL- Stock'!F4,'BM -ALL- Stock'!F7,'BM -ALL- Stock'!F10,'BM -ALL- Stock'!F13,'BM -ALL- Stock'!F16,'BM -ALL- Stock'!F19,'BM -ALL- Stock'!F22,'BM -ALL- Stock'!F25,'BM -ALL- Stock'!F28,'BM -ALL- Stock'!F31) / SUM('BM -ALL- Stock'!G4,'BM -ALL- Stock'!G7,'BM -ALL- Stock'!G10,'BM -ALL- Stock'!G13,'BM -ALL- Stock'!G16,'BM -ALL- Stock'!G19,'BM -ALL- Stock'!G22,'BM -ALL- Stock'!G25,'BM -ALL- Stock'!G28,'BM -ALL- Stock'!G31)), 3)</f>
        <v>#DIV/0!</v>
      </c>
      <c r="O4" s="113">
        <f>'BM -ALL- Stock'!J32</f>
        <v>529301.23</v>
      </c>
      <c r="P4" s="94">
        <f>SUM('BM -ALL- Stock'!J2,'BM -ALL- Stock'!J5,'BM -ALL- Stock'!J8,'BM -ALL- Stock'!J11,'BM -ALL- Stock'!J14,'BM -ALL- Stock'!J17,'BM -ALL- Stock'!J20,'BM -ALL- Stock'!J23,'BM -ALL- Stock'!J26,'BM -ALL- Stock'!J29)</f>
        <v>152442.04999999999</v>
      </c>
      <c r="Q4" s="94">
        <f>SUM('BM -ALL- Stock'!J3,'BM -ALL- Stock'!J6,'BM -ALL- Stock'!J9,'BM -ALL- Stock'!J12,'BM -ALL- Stock'!J15,'BM -ALL- Stock'!J18,'BM -ALL- Stock'!J21,'BM -ALL- Stock'!J24,'BM -ALL- Stock'!J27,'BM -ALL- Stock'!J30)</f>
        <v>375942.21</v>
      </c>
      <c r="R4" s="94">
        <f>SUM('BM -ALL- Stock'!J4,'BM -ALL- Stock'!J7,'BM -ALL- Stock'!J10,'BM -ALL- Stock'!J13,'BM -ALL- Stock'!J16,'BM -ALL- Stock'!J19,'BM -ALL- Stock'!J22,'BM -ALL- Stock'!J25,'BM -ALL- Stock'!J28,'BM -ALL- Stock'!J31)</f>
        <v>916.97</v>
      </c>
      <c r="S4" s="94">
        <f>'BM -ALL- Stock'!K32</f>
        <v>151072.56</v>
      </c>
      <c r="T4" s="94">
        <f>'BM -ALL- Stock'!L32</f>
        <v>68128.289999999994</v>
      </c>
      <c r="U4" s="94">
        <f>'BM -ALL- Stock'!M32</f>
        <v>99407.260000000009</v>
      </c>
      <c r="V4" s="94">
        <f>'BM -ALL- Stock'!N32</f>
        <v>31278.969999999998</v>
      </c>
      <c r="W4" s="102">
        <f>'BM -ALL- Stock'!O32</f>
        <v>0.315</v>
      </c>
      <c r="X4" s="102">
        <f>ROUND((1 - SUM('BM -ALL- Stock'!L2,'BM -ALL- Stock'!L5,'BM -ALL- Stock'!L8,'BM -ALL- Stock'!L11,'BM -ALL- Stock'!L14,'BM -ALL- Stock'!L17,'BM -ALL- Stock'!L20,'BM -ALL- Stock'!L23,'BM -ALL- Stock'!L26,'BM -ALL- Stock'!L29) / SUM('BM -ALL- Stock'!M2,'BM -ALL- Stock'!M5,'BM -ALL- Stock'!M8,'BM -ALL- Stock'!M11,'BM -ALL- Stock'!M14,'BM -ALL- Stock'!M17,'BM -ALL- Stock'!M20,'BM -ALL- Stock'!M23,'BM -ALL- Stock'!M26,'BM -ALL- Stock'!M29)), 3)</f>
        <v>0.33700000000000002</v>
      </c>
      <c r="Y4" s="102">
        <f>ROUND((1 - SUM('BM -ALL- Stock'!L3,'BM -ALL- Stock'!L6,'BM -ALL- Stock'!L9,'BM -ALL- Stock'!L12,'BM -ALL- Stock'!L15,'BM -ALL- Stock'!L18,'BM -ALL- Stock'!L21,'BM -ALL- Stock'!L24,'BM -ALL- Stock'!L27,'BM -ALL- Stock'!L30) / SUM('BM -ALL- Stock'!M3,'BM -ALL- Stock'!M6,'BM -ALL- Stock'!M9,'BM -ALL- Stock'!M12,'BM -ALL- Stock'!M15,'BM -ALL- Stock'!M18,'BM -ALL- Stock'!M21,'BM -ALL- Stock'!M24,'BM -ALL- Stock'!M27,'BM -ALL- Stock'!M30)), 3)</f>
        <v>0.29099999999999998</v>
      </c>
      <c r="Z4" s="102" t="e">
        <f>ROUND((1 - SUM('BM -ALL- Stock'!L4,'BM -ALL- Stock'!L7,'BM -ALL- Stock'!L10,'BM -ALL- Stock'!L13,'BM -ALL- Stock'!L16,'BM -ALL- Stock'!L19,'BM -ALL- Stock'!L22,'BM -ALL- Stock'!L25,'BM -ALL- Stock'!L28,'BM -ALL- Stock'!L31) / SUM('BM -ALL- Stock'!M4,'BM -ALL- Stock'!M7,'BM -ALL- Stock'!M10,'BM -ALL- Stock'!M13,'BM -ALL- Stock'!M16,'BM -ALL- Stock'!M19,'BM -ALL- Stock'!M22,'BM -ALL- Stock'!M25,'BM -ALL- Stock'!M28,'BM -ALL- Stock'!M31)), 3)</f>
        <v>#DIV/0!</v>
      </c>
      <c r="AA4" s="94">
        <f>'BM -ALL- Stock'!P32</f>
        <v>2255658</v>
      </c>
      <c r="AB4" s="94">
        <f>'BM -ALL- Stock'!Q32</f>
        <v>492639.74999999994</v>
      </c>
      <c r="AC4" s="94">
        <f>SUM('BM -ALL- Stock'!Q2,'BM -ALL- Stock'!Q5,'BM -ALL- Stock'!Q8,'BM -ALL- Stock'!Q11,'BM -ALL- Stock'!Q14,'BM -ALL- Stock'!Q17,'BM -ALL- Stock'!Q20,'BM -ALL- Stock'!Q23,'BM -ALL- Stock'!Q26,'BM -ALL- Stock'!Q29)</f>
        <v>105103.06</v>
      </c>
      <c r="AD4" s="94">
        <f>SUM('BM -ALL- Stock'!Q3,'BM -ALL- Stock'!Q6,'BM -ALL- Stock'!Q9,'BM -ALL- Stock'!Q12,'BM -ALL- Stock'!Q15,'BM -ALL- Stock'!Q18,'BM -ALL- Stock'!Q21,'BM -ALL- Stock'!Q24,'BM -ALL- Stock'!Q27,'BM -ALL- Stock'!Q30)</f>
        <v>387536.69</v>
      </c>
      <c r="AE4" s="94">
        <f>SUM('BM -ALL- Stock'!Q4,'BM -ALL- Stock'!Q7,'BM -ALL- Stock'!Q10,'BM -ALL- Stock'!Q13,'BM -ALL- Stock'!Q16,'BM -ALL- Stock'!Q19,'BM -ALL- Stock'!Q22,'BM -ALL- Stock'!Q25,'BM -ALL- Stock'!Q28,'BM -ALL- Stock'!Q31)</f>
        <v>0</v>
      </c>
      <c r="AF4" s="94">
        <f>'BM -ALL- Stock'!R32</f>
        <v>124072.47</v>
      </c>
      <c r="AG4" s="94">
        <f>'BM -ALL- Stock'!S32</f>
        <v>110662.71</v>
      </c>
      <c r="AH4" s="94">
        <f>'BM -ALL- Stock'!T32</f>
        <v>155514.93</v>
      </c>
      <c r="AI4" s="94">
        <f>'BM -ALL- Stock'!U32</f>
        <v>44852.22</v>
      </c>
      <c r="AJ4" s="124">
        <f>'BM -ALL- Stock'!V32</f>
        <v>0.28799999999999998</v>
      </c>
      <c r="AK4" s="126">
        <f>ROUND((1 - SUM('BM -ALL- Stock'!S2,'BM -ALL- Stock'!S5,'BM -ALL- Stock'!S8,'BM -ALL- Stock'!S11,'BM -ALL- Stock'!S14,'BM -ALL- Stock'!S17,'BM -ALL- Stock'!S20,'BM -ALL- Stock'!S23,'BM -ALL- Stock'!S26,'BM -ALL- Stock'!S29) / SUM('BM -ALL- Stock'!T2,'BM -ALL- Stock'!T5,'BM -ALL- Stock'!T8,'BM -ALL- Stock'!T11,'BM -ALL- Stock'!T14,'BM -ALL- Stock'!T17,'BM -ALL- Stock'!T20,'BM -ALL- Stock'!T23,'BM -ALL- Stock'!T26,'BM -ALL- Stock'!T29)), 3)</f>
        <v>0.32</v>
      </c>
      <c r="AL4" s="126">
        <f>ROUND((1 - SUM('BM -ALL- Stock'!S3,'BM -ALL- Stock'!S6,'BM -ALL- Stock'!S9,'BM -ALL- Stock'!S12,'BM -ALL- Stock'!S15,'BM -ALL- Stock'!S18,'BM -ALL- Stock'!S21,'BM -ALL- Stock'!S24,'BM -ALL- Stock'!S27,'BM -ALL- Stock'!S30) / SUM('BM -ALL- Stock'!T3,'BM -ALL- Stock'!T6,'BM -ALL- Stock'!T9,'BM -ALL- Stock'!T12,'BM -ALL- Stock'!T15,'BM -ALL- Stock'!T18,'BM -ALL- Stock'!T21,'BM -ALL- Stock'!T24,'BM -ALL- Stock'!T27,'BM -ALL- Stock'!T30)), 3)</f>
        <v>0.26700000000000002</v>
      </c>
      <c r="AM4" s="128" t="e">
        <f>ROUND((1 - SUM('BM -ALL- Stock'!S4,'BM -ALL- Stock'!S7,'BM -ALL- Stock'!S10,'BM -ALL- Stock'!S13,'BM -ALL- Stock'!S16,'BM -ALL- Stock'!S19,'BM -ALL- Stock'!S22,'BM -ALL- Stock'!S25,'BM -ALL- Stock'!S28,'BM -ALL- Stock'!S31) / SUM('BM -ALL- Stock'!T4,'BM -ALL- Stock'!T7,'BM -ALL- Stock'!T10,'BM -ALL- Stock'!T13,'BM -ALL- Stock'!T16,'BM -ALL- Stock'!T19,'BM -ALL- Stock'!T22,'BM -ALL- Stock'!T25,'BM -ALL- Stock'!T28,'BM -ALL- Stock'!T31)), 3)</f>
        <v>#DIV/0!</v>
      </c>
      <c r="AO4" s="143"/>
      <c r="AP4" s="139"/>
    </row>
    <row r="5" spans="1:47" s="9" customFormat="1" ht="16.5" x14ac:dyDescent="0.3">
      <c r="A5" s="93" t="s">
        <v>14</v>
      </c>
      <c r="B5" s="95">
        <v>0</v>
      </c>
      <c r="C5" s="94">
        <v>0</v>
      </c>
      <c r="D5" s="94">
        <v>0</v>
      </c>
      <c r="E5" s="94">
        <v>0</v>
      </c>
      <c r="F5" s="94">
        <v>0</v>
      </c>
      <c r="G5" s="94">
        <v>0</v>
      </c>
      <c r="H5" s="94">
        <v>0</v>
      </c>
      <c r="I5" s="94">
        <v>0</v>
      </c>
      <c r="J5" s="94">
        <v>0</v>
      </c>
      <c r="K5" s="102">
        <v>0</v>
      </c>
      <c r="L5" s="102">
        <v>0</v>
      </c>
      <c r="M5" s="102">
        <v>0</v>
      </c>
      <c r="N5" s="102">
        <v>0</v>
      </c>
      <c r="O5" s="113">
        <v>0</v>
      </c>
      <c r="P5" s="94">
        <v>0</v>
      </c>
      <c r="Q5" s="94">
        <v>0</v>
      </c>
      <c r="R5" s="94">
        <v>0</v>
      </c>
      <c r="S5" s="94">
        <v>0</v>
      </c>
      <c r="T5" s="94">
        <v>0</v>
      </c>
      <c r="U5" s="94">
        <v>0</v>
      </c>
      <c r="V5" s="94">
        <v>0</v>
      </c>
      <c r="W5" s="102">
        <v>0</v>
      </c>
      <c r="X5" s="102">
        <v>0</v>
      </c>
      <c r="Y5" s="102">
        <v>0</v>
      </c>
      <c r="Z5" s="102">
        <v>0</v>
      </c>
      <c r="AA5" s="94">
        <v>0</v>
      </c>
      <c r="AB5" s="94">
        <v>0</v>
      </c>
      <c r="AC5" s="94">
        <v>0</v>
      </c>
      <c r="AD5" s="94">
        <v>0</v>
      </c>
      <c r="AE5" s="94">
        <v>0</v>
      </c>
      <c r="AF5" s="94">
        <v>0</v>
      </c>
      <c r="AG5" s="94">
        <v>0</v>
      </c>
      <c r="AH5" s="94">
        <v>0</v>
      </c>
      <c r="AI5" s="94">
        <v>0</v>
      </c>
      <c r="AJ5" s="124">
        <v>0</v>
      </c>
      <c r="AK5" s="126">
        <v>0</v>
      </c>
      <c r="AL5" s="126">
        <v>0</v>
      </c>
      <c r="AM5" s="128">
        <v>0</v>
      </c>
      <c r="AO5" s="143"/>
      <c r="AP5" s="139"/>
    </row>
    <row r="6" spans="1:47" x14ac:dyDescent="0.25">
      <c r="A6" s="44" t="s">
        <v>15</v>
      </c>
      <c r="B6" s="54">
        <f>'L - All'!C32</f>
        <v>1.7969604776945529</v>
      </c>
      <c r="C6" s="45">
        <f>'L - All'!D32</f>
        <v>607745.96</v>
      </c>
      <c r="D6" s="45">
        <f>SUM('L - All'!D2,'L - All'!D5,'L - All'!D8,'L - All'!D11,'L - All'!D14,'L - All'!D17,'L - All'!D20,'L - All'!D23,'L - All'!D26,'L - All'!D29)</f>
        <v>164496.80000000002</v>
      </c>
      <c r="E6" s="45">
        <f>SUM('L - All'!D3,'L - All'!D6,'L - All'!D9,'L - All'!D12,'L - All'!D15,'L - All'!D18,'L - All'!D21,'L - All'!D24,'L - All'!D27,'L - All'!D30)</f>
        <v>443065.5</v>
      </c>
      <c r="F6" s="45">
        <f>SUM('L - All'!D4,'L - All'!D7,'L - All'!D10,'L - All'!D13,'L - All'!D16,'L - All'!D19,'L - All'!D22,'L - All'!D25,'L - All'!D28,'L - All'!D31)</f>
        <v>183.66</v>
      </c>
      <c r="G6" s="45">
        <f>'L - All'!E32</f>
        <v>432042.91000000003</v>
      </c>
      <c r="H6" s="45">
        <f>'L - All'!F32</f>
        <v>338207.75</v>
      </c>
      <c r="I6" s="45">
        <f>'L - All'!G32</f>
        <v>486781.49000000005</v>
      </c>
      <c r="J6" s="45">
        <f>'L - All'!H32</f>
        <v>148573.74000000002</v>
      </c>
      <c r="K6" s="103">
        <f>'L - All'!I32</f>
        <v>0.30499999999999999</v>
      </c>
      <c r="L6" s="103">
        <f>ROUND((1 - SUM('L - All'!F2,'L - All'!F5,'L - All'!F8,'L - All'!F11,'L - All'!F14,'L - All'!F17,'L - All'!F20,'L - All'!F23,'L - All'!F26,'L - All'!F29) / SUM('L - All'!G2,'L - All'!G5,'L - All'!G8,'L - All'!G11,'L - All'!G14,'L - All'!G17,'L - All'!G20,'L - All'!G23,'L - All'!G26,'L - All'!G29)), 3)</f>
        <v>0.34200000000000003</v>
      </c>
      <c r="M6" s="103">
        <f>ROUND((1 - SUM('L - All'!F3,'L - All'!F6,'L - All'!F9,'L - All'!F12,'L - All'!F15,'L - All'!F18,'L - All'!F21,'L - All'!F24,'L - All'!F27,'L - All'!F30) / SUM('L - All'!G3,'L - All'!G6,'L - All'!G9,'L - All'!G12,'L - All'!G15,'L - All'!G18,'L - All'!G21,'L - All'!G24,'L - All'!G27,'L - All'!G30)), 3)</f>
        <v>0.27300000000000002</v>
      </c>
      <c r="N6" s="103" t="e">
        <f>ROUND((1 - SUM('L - All'!F4,'L - All'!F7,'L - All'!F10,'L - All'!F13,'L - All'!F16,'L - All'!F19,'L - All'!F22,'L - All'!F25,'L - All'!F28,'L - All'!F31) / SUM('L - All'!G4,'L - All'!G7,'L - All'!G10,'L - All'!G13,'L - All'!G16,'L - All'!G19,'L - All'!G22,'L - All'!G25,'L - All'!G28,'L - All'!G31)), 3)</f>
        <v>#DIV/0!</v>
      </c>
      <c r="O6" s="114">
        <f>'L - All'!J32</f>
        <v>568636.15000000026</v>
      </c>
      <c r="P6" s="45">
        <f>SUM('L - All'!J2,'L - All'!J5,'L - All'!J8,'L - All'!J11,'L - All'!J14,'L - All'!J17,'L - All'!J20,'L - All'!J23,'L - All'!D26,'L - All'!J29)</f>
        <v>131370.68</v>
      </c>
      <c r="Q6" s="45">
        <f>SUM('L - All'!J3,'L - All'!J6,'L - All'!J9,'L - All'!J12,'L - All'!J15,'L - All'!J18,'L - All'!J21,'L - All'!J24,'L - All'!J27,'L - All'!J30)</f>
        <v>437081.81</v>
      </c>
      <c r="R6" s="45">
        <f>SUM('L - All'!J4,'L - All'!J7,'L - All'!J10,'L - All'!J13,'L - All'!J16,'L - All'!J19,'L - All'!J22,'L - All'!J25,'L - All'!J28,'L - All'!J31)</f>
        <v>183.66</v>
      </c>
      <c r="S6" s="45">
        <f>'L - All'!K32</f>
        <v>280852.71999999997</v>
      </c>
      <c r="T6" s="45">
        <f>'L - All'!L32</f>
        <v>276080.96000000002</v>
      </c>
      <c r="U6" s="45">
        <f>'L - All'!M32</f>
        <v>389601.79000000004</v>
      </c>
      <c r="V6" s="45">
        <f>'L - All'!N32</f>
        <v>113520.82999999999</v>
      </c>
      <c r="W6" s="103">
        <f>'L - All'!O32</f>
        <v>0.29099999999999998</v>
      </c>
      <c r="X6" s="103">
        <f>ROUND((1 - SUM('L - All'!L2,'L - All'!L5,'L - All'!L8,'L - All'!L11,'L - All'!L14,'L - All'!L17,'L - All'!L20,'L - All'!L23,'L - All'!L26,'L - All'!L29) / SUM('L - All'!M2,'L - All'!M5,'L - All'!M8,'L - All'!M11,'L - All'!M14,'L - All'!M17,'L - All'!M20,'L - All'!M23,'L - All'!M26,'L - All'!M29)), 3)</f>
        <v>0.35299999999999998</v>
      </c>
      <c r="Y6" s="103">
        <f>ROUND((1 - SUM('L - All'!L3,'L - All'!L6,'L - All'!L9,'L - All'!L12,'L - All'!L15,'L - All'!L18,'L - All'!L21,'L - All'!L24,'L - All'!L27,'L - All'!L30) / SUM('L - All'!M3,'L - All'!M6,'L - All'!M9,'L - All'!M12,'L - All'!M15,'L - All'!M18,'L - All'!M21,'L - All'!M24,'L - All'!M27,'L - All'!M30)), 3)</f>
        <v>0.249</v>
      </c>
      <c r="Z6" s="103" t="e">
        <f>ROUND((1 - SUM('L - All'!L4,'L - All'!L7,'L - All'!L10,'L - All'!L13,'L - All'!L16,'L - All'!L19,'L - All'!L22,'L - All'!L25,'L - All'!L28,'L - All'!L31) / SUM('L - All'!M4,'L - All'!M7,'L - All'!M10,'L - All'!M13,'L - All'!M16,'L - All'!M19,'L - All'!M22,'L - All'!M25,'L - All'!M28,'L - All'!M31)), 3)</f>
        <v>#DIV/0!</v>
      </c>
      <c r="AA6" s="45">
        <f>'L - All'!P32</f>
        <v>6115288</v>
      </c>
      <c r="AB6" s="45">
        <f>'L - All'!Q32</f>
        <v>609539.05999999982</v>
      </c>
      <c r="AC6" s="45">
        <f>SUM('L - All'!Q2,'L - All'!Q5,'L - All'!Q8,'L - All'!Q11,'L - All'!Q14,'L - All'!Q17,'L - All'!Q20,'L - All'!Q23,'L - All'!Q26,'L - All'!Q29)</f>
        <v>130964.73000000001</v>
      </c>
      <c r="AD6" s="45">
        <f>SUM('L - All'!Q3,'L - All'!Q6,'L - All'!Q9,'L - All'!Q12,'L - All'!Q15,'L - All'!Q18,'L - All'!Q21,'L - All'!Q24,'L - All'!Q27,'L - All'!Q30)</f>
        <v>478574.33</v>
      </c>
      <c r="AE6" s="45">
        <f>SUM('L - All'!Q4,'L - All'!Q7,'L - All'!Q10,'L - All'!Q13,'L - All'!Q16,'L - All'!Q19,'L - All'!Q22,'L - All'!Q25,'L - All'!Q28,'L - All'!Q31)</f>
        <v>0</v>
      </c>
      <c r="AF6" s="45">
        <f>'L - All'!R32</f>
        <v>321349.41000000003</v>
      </c>
      <c r="AG6" s="45">
        <f>'L - All'!S32</f>
        <v>458682.63000000006</v>
      </c>
      <c r="AH6" s="45">
        <f>'L - All'!T32</f>
        <v>604530.55999999994</v>
      </c>
      <c r="AI6" s="45">
        <f>'L - All'!U32</f>
        <v>145847.93000000002</v>
      </c>
      <c r="AJ6" s="125">
        <f>'L - All'!V32</f>
        <v>0.24099999999999999</v>
      </c>
      <c r="AK6" s="103">
        <f>ROUND((1 - SUM('L - All'!S2,'L - All'!S5,'L - All'!S8,'L - All'!S11,'L - All'!S14,'L - All'!S17,'L - All'!S20,'L - All'!S23,'L - All'!S26,'L - All'!S29) / SUM('L - All'!T2,'L - All'!T5,'L - All'!T8,'L - All'!T11,'L - All'!T14,'L - All'!T17,'L - All'!T20,'L - All'!T23,'L - All'!T26,'L - All'!T29)), 3)</f>
        <v>0.30099999999999999</v>
      </c>
      <c r="AL6" s="103">
        <f>ROUND((1 - SUM('L - All'!S3,'L - All'!S6,'L - All'!S9,'L - All'!S12,'L - All'!S15,'L - All'!S18,'L - All'!S21,'L - All'!S24,'L - All'!S27,'L - All'!S30) / SUM('L - All'!T3,'L - All'!T6,'L - All'!T9,'L - All'!T12,'L - All'!T15,'L - All'!T18,'L - All'!T21,'L - All'!T24,'L - All'!T27,'L - All'!T30)), 3)</f>
        <v>0.216</v>
      </c>
      <c r="AM6" s="112" t="e">
        <f>ROUND((1 - SUM('L - All'!S4,'L - All'!S7,'L - All'!S10,'L - All'!S13,'L - All'!S16,'L - All'!S19,'L - All'!S22,'L - All'!S25,'L - All'!S28,'L - All'!S31) / SUM('L - All'!T4,'L - All'!T7,'L - All'!T10,'L - All'!T13,'L - All'!T16,'L - All'!T19,'L - All'!T22,'L - All'!T25,'L - All'!T28,'L - All'!T31)), 3)</f>
        <v>#DIV/0!</v>
      </c>
      <c r="AN6" s="141">
        <f>$C$6</f>
        <v>607745.96</v>
      </c>
      <c r="AO6" s="141"/>
      <c r="AP6" s="140"/>
    </row>
    <row r="7" spans="1:47" x14ac:dyDescent="0.25">
      <c r="A7" s="44" t="s">
        <v>16</v>
      </c>
      <c r="B7" s="54">
        <f>'L - Stock'!C29</f>
        <v>2.1578448500773098</v>
      </c>
      <c r="C7" s="45">
        <f>'L - Stock'!D29</f>
        <v>536200.8600000001</v>
      </c>
      <c r="D7" s="45">
        <f>SUM('L - Stock'!D2,'L - Stock'!D5,'L - Stock'!D8,'L - Stock'!D11,'L - Stock'!D14,'L - Stock'!D17,'L - Stock'!D20,'L - Stock'!D23,'L - Stock'!D26)</f>
        <v>160590.95000000001</v>
      </c>
      <c r="E7" s="45">
        <f>SUM('L - Stock'!D3,'L - Stock'!D6,'L - Stock'!D9,'L - Stock'!D12,'L - Stock'!D15,'L - Stock'!D18,'L - Stock'!D21,'L - Stock'!D24,'L - Stock'!D27)</f>
        <v>375426.25</v>
      </c>
      <c r="F7" s="45">
        <f>SUM('L - Stock'!D4,'L - Stock'!D7,'L - Stock'!D10,'L - Stock'!D13,'L - Stock'!D16,'L - Stock'!D19,'L - Stock'!D22,'L - Stock'!D25,'L - Stock'!D28)</f>
        <v>183.66</v>
      </c>
      <c r="G7" s="45">
        <f>'L - Stock'!E29</f>
        <v>293374.54000000004</v>
      </c>
      <c r="H7" s="45">
        <f>'L - Stock'!F29</f>
        <v>248489.07</v>
      </c>
      <c r="I7" s="45">
        <f>'L - Stock'!G29</f>
        <v>371811.19000000006</v>
      </c>
      <c r="J7" s="45">
        <f>'L - Stock'!H29</f>
        <v>123322.12000000002</v>
      </c>
      <c r="K7" s="103">
        <f>'L - Stock'!I29</f>
        <v>0.33167942040690068</v>
      </c>
      <c r="L7" s="103">
        <f>ROUND((1 - SUM('L - Stock'!F2,'L - Stock'!F5,'L - Stock'!F8,'L - Stock'!F11,'L - Stock'!F14,'L - Stock'!F17,'L - Stock'!F20,'L - Stock'!F23,'L - Stock'!F26) / SUM('L - Stock'!G2,'L - Stock'!G5,'L - Stock'!G8,'L - Stock'!G11,'L - Stock'!G14,'L - Stock'!G17,'L - Stock'!G20,'L - Stock'!G23,'L - Stock'!G26)), 3)</f>
        <v>0.35199999999999998</v>
      </c>
      <c r="M7" s="103">
        <f>ROUND((1 - SUM('L - Stock'!F3,'L - Stock'!F6,'L - Stock'!F9,'L - Stock'!F12,'L - Stock'!F15,'L - Stock'!F18,'L - Stock'!F21,'L - Stock'!F24,'L - Stock'!F27) / SUM('L - Stock'!G3,'L - Stock'!G6,'L - Stock'!G9,'L - Stock'!G12,'L - Stock'!G15,'L - Stock'!G18,'L - Stock'!G21,'L - Stock'!G24,'L - Stock'!G27)), 3)</f>
        <v>0.30599999999999999</v>
      </c>
      <c r="N7" s="103" t="e">
        <f>ROUND((1 - SUM('L - Stock'!F4,'L - Stock'!F7,'L - Stock'!F10,'L - Stock'!F13,'L - Stock'!F16,'L - Stock'!F19,'L - Stock'!F22,'L - Stock'!F25,'L - Stock'!F28) / SUM('L - Stock'!G4,'L - Stock'!G7,'L - Stock'!G10,'L - Stock'!G13,'L - Stock'!G16,'L - Stock'!G19,'L - Stock'!G22,'L - Stock'!G25,'L - Stock'!G28)), 3)</f>
        <v>#DIV/0!</v>
      </c>
      <c r="O7" s="114">
        <f>'L - Stock'!J29</f>
        <v>529690.14000000025</v>
      </c>
      <c r="P7" s="45">
        <f>SUM('L - Stock'!J2,'L - Stock'!J5,'L - Stock'!J8,'L - Stock'!J11,'L - Stock'!J14,'L - Stock'!J17,'L - Stock'!J20,'L - Stock'!J23,'L - Stock'!J26)</f>
        <v>130113.09999999999</v>
      </c>
      <c r="Q7" s="45">
        <f>SUM('L - Stock'!J3,'L - Stock'!J6,'L - Stock'!J9,'L - Stock'!J12,'L - Stock'!J15,'L - Stock'!J18,'L - Stock'!J21,'L - Stock'!J24,'L - Stock'!J27)</f>
        <v>399393.38</v>
      </c>
      <c r="R7" s="45">
        <f>SUM('L - Stock'!J4,'L - Stock'!J7,'L - Stock'!J10,'L - Stock'!J13,'L - Stock'!J16,'L - Stock'!J19,'L - Stock'!J22,'L - Stock'!J25,'L - Stock'!J28)</f>
        <v>183.66</v>
      </c>
      <c r="S7" s="45">
        <f>'L - Stock'!K29</f>
        <v>191433.19</v>
      </c>
      <c r="T7" s="45">
        <f>'L - Stock'!L29</f>
        <v>191858.34</v>
      </c>
      <c r="U7" s="45">
        <f>'L - Stock'!M29</f>
        <v>282084.28000000003</v>
      </c>
      <c r="V7" s="45">
        <f>'L - Stock'!N29</f>
        <v>90225.939999999988</v>
      </c>
      <c r="W7" s="103">
        <f>'L - Stock'!O29</f>
        <v>0.3198545484349572</v>
      </c>
      <c r="X7" s="103">
        <f>ROUND((1 - SUM('L - Stock'!L2,'L - Stock'!L5,'L - Stock'!L8,'L - Stock'!L11,'L - Stock'!L14,'L - Stock'!L17,'L - Stock'!L20,'L - Stock'!L23,'L - Stock'!L26) / SUM('L - Stock'!M2,'L - Stock'!M5,'L - Stock'!M8,'L - Stock'!M11,'L - Stock'!M14,'L - Stock'!M17,'L - Stock'!M20,'L - Stock'!M23,'L - Stock'!M26)), 3)</f>
        <v>0.35699999999999998</v>
      </c>
      <c r="Y7" s="103">
        <f>ROUND((1 - SUM('L - Stock'!L3,'L - Stock'!L6,'L - Stock'!L9,'L - Stock'!L12,'L - Stock'!L15,'L - Stock'!L18,'L - Stock'!L21,'L - Stock'!L24,'L - Stock'!L27) / SUM('L - Stock'!M3,'L - Stock'!M6,'L - Stock'!M9,'L - Stock'!M12,'L - Stock'!M15,'L - Stock'!M18,'L - Stock'!M21,'L - Stock'!M24,'L - Stock'!M27)), 3)</f>
        <v>0.27600000000000002</v>
      </c>
      <c r="Z7" s="103" t="e">
        <f>ROUND((1 - SUM('L - Stock'!L4,'L - Stock'!L7,'L - Stock'!L10,'L - Stock'!L13,'L - Stock'!L16,'L - Stock'!L19,'L - Stock'!L22,'L - Stock'!L25,'L - Stock'!L28) / SUM('L - Stock'!M4,'L - Stock'!M7,'L - Stock'!M10,'L - Stock'!M13,'L - Stock'!M16,'L - Stock'!M19,'L - Stock'!M22,'L - Stock'!M25,'L - Stock'!M28)), 3)</f>
        <v>#DIV/0!</v>
      </c>
      <c r="AA7" s="45">
        <f>'L - Stock'!P29</f>
        <v>4181527</v>
      </c>
      <c r="AB7" s="45">
        <f>'L - Stock'!Q29</f>
        <v>533155.26999999979</v>
      </c>
      <c r="AC7" s="45">
        <f>SUM('L - Stock'!Q2,'L - Stock'!Q5,'L - Stock'!Q8,'L - Stock'!Q11,'L - Stock'!Q14,'L - Stock'!Q17,'L - Stock'!Q20,'L - Stock'!Q23,'L - Stock'!Q26)</f>
        <v>130947.13</v>
      </c>
      <c r="AD7" s="45">
        <f>SUM('L - Stock'!Q3,'L - Stock'!Q6,'L - Stock'!Q9,'L - Stock'!Q12,'L - Stock'!Q15,'L - Stock'!Q18,'L - Stock'!Q21,'L - Stock'!Q24,'L - Stock'!Q27)</f>
        <v>402208.14</v>
      </c>
      <c r="AE7" s="45">
        <f>SUM('L - Stock'!Q4,'L - Stock'!Q7,'L - Stock'!Q10,'L - Stock'!Q13,'L - Stock'!Q16,'L - Stock'!Q19,'L - Stock'!Q22,'L - Stock'!Q25,'L - Stock'!Q28)</f>
        <v>0</v>
      </c>
      <c r="AF7" s="45">
        <f>'L - Stock'!R29</f>
        <v>168606.26</v>
      </c>
      <c r="AG7" s="45">
        <f>'L - Stock'!S29</f>
        <v>285827.92000000004</v>
      </c>
      <c r="AH7" s="45">
        <f>'L - Stock'!T29</f>
        <v>396597.79</v>
      </c>
      <c r="AI7" s="45">
        <f>'L - Stock'!U29</f>
        <v>110769.87000000001</v>
      </c>
      <c r="AJ7" s="103">
        <f>'L - Stock'!V29</f>
        <v>0.27930027043267169</v>
      </c>
      <c r="AK7" s="103">
        <f>ROUND((1 - SUM('L - Stock'!S2,'L - Stock'!S5,'L - Stock'!S8,'L - Stock'!S11,'L - Stock'!S14,'L - Stock'!S17,'L - Stock'!S20,'L - Stock'!S23,'L - Stock'!S26) / SUM('L - Stock'!T2,'L - Stock'!T5,'L - Stock'!T8,'L - Stock'!T11,'L - Stock'!T14,'L - Stock'!T17,'L - Stock'!T20,'L - Stock'!T23,'L - Stock'!T26)), 3)</f>
        <v>0.30199999999999999</v>
      </c>
      <c r="AL7" s="103">
        <f>ROUND((1 - SUM('L - Stock'!S3,'L - Stock'!S6,'L - Stock'!S9,'L - Stock'!S12,'L - Stock'!S15,'L - Stock'!S18,'L - Stock'!S21,'L - Stock'!S24,'L - Stock'!S27) / SUM('L - Stock'!T3,'L - Stock'!T6,'L - Stock'!T9,'L - Stock'!T12,'L - Stock'!T15,'L - Stock'!T18,'L - Stock'!T21,'L - Stock'!T24,'L - Stock'!T27)), 3)</f>
        <v>0.26100000000000001</v>
      </c>
      <c r="AM7" s="112" t="e">
        <f>ROUND((1 - SUM('L - Stock'!S4,'L - Stock'!S7,'L - Stock'!S10,'L - Stock'!S13,'L - Stock'!S16,'L - Stock'!S19,'L - Stock'!S22,'L - Stock'!S25,'L - Stock'!S28) / SUM('L - Stock'!T4,'L - Stock'!T7,'L - Stock'!T10,'L - Stock'!T13,'L - Stock'!T16,'L - Stock'!T19,'L - Stock'!T22,'L - Stock'!T25,'L - Stock'!T28)), 3)</f>
        <v>#DIV/0!</v>
      </c>
      <c r="AO7" s="141"/>
      <c r="AP7" s="140"/>
    </row>
    <row r="8" spans="1:47" x14ac:dyDescent="0.25">
      <c r="A8" s="44" t="s">
        <v>17</v>
      </c>
      <c r="B8" s="54">
        <f>'L - SO'!C5</f>
        <v>0.79743817006670181</v>
      </c>
      <c r="C8" s="45">
        <f>'L - SO'!D5</f>
        <v>71545.100000000006</v>
      </c>
      <c r="D8" s="45">
        <f>SUM('L - SO'!D2)</f>
        <v>3905.85</v>
      </c>
      <c r="E8" s="45">
        <f>SUM('L - SO'!D3)</f>
        <v>67639.25</v>
      </c>
      <c r="F8" s="45">
        <f>SUM('L - SO'!D4)</f>
        <v>0</v>
      </c>
      <c r="G8" s="45">
        <f>'L - SO'!E5</f>
        <v>138668.37</v>
      </c>
      <c r="H8" s="45">
        <f>'L - SO'!F5</f>
        <v>89718.680000000008</v>
      </c>
      <c r="I8" s="45">
        <f>'L - SO'!G5</f>
        <v>114970.3</v>
      </c>
      <c r="J8" s="45">
        <f>'L - SO'!H5</f>
        <v>25251.62</v>
      </c>
      <c r="K8" s="103">
        <f>'L - SO'!I5</f>
        <v>0.21963602773933788</v>
      </c>
      <c r="L8" s="103">
        <f>ROUND((1 - SUM('L - SO'!F2) / SUM('L - SO'!G2)), 3)</f>
        <v>0.23100000000000001</v>
      </c>
      <c r="M8" s="103">
        <f>ROUND((1 - SUM('L - SO'!F3) / SUM('L - SO'!G3)), 3)</f>
        <v>0.218</v>
      </c>
      <c r="N8" s="103" t="e">
        <f>ROUND((1 - SUM('L - SO'!F4) / SUM('L - SO'!G4)), 3)</f>
        <v>#DIV/0!</v>
      </c>
      <c r="O8" s="114">
        <f>'L - SO'!J5</f>
        <v>38946.01</v>
      </c>
      <c r="P8" s="45">
        <f>SUM('L - SO'!J2)</f>
        <v>1257.58</v>
      </c>
      <c r="Q8" s="45">
        <f>SUM('L - SO'!J3)</f>
        <v>37688.43</v>
      </c>
      <c r="R8" s="45">
        <f>SUM('L - SO'!J4)</f>
        <v>0</v>
      </c>
      <c r="S8" s="45">
        <f>'L - SO'!K5</f>
        <v>89419.530000000013</v>
      </c>
      <c r="T8" s="45">
        <f>'L - SO'!L5</f>
        <v>84222.62</v>
      </c>
      <c r="U8" s="45">
        <f>'L - SO'!M5</f>
        <v>107517.51</v>
      </c>
      <c r="V8" s="45">
        <f>'L - SO'!N5</f>
        <v>23294.89</v>
      </c>
      <c r="W8" s="103">
        <f>'L - SO'!O5</f>
        <v>0.21666136055420182</v>
      </c>
      <c r="X8" s="103">
        <f>ROUND((1 - SUM('L - SO'!L2) / SUM('L - SO'!M2)), 3)</f>
        <v>0.26400000000000001</v>
      </c>
      <c r="Y8" s="103">
        <f>ROUND((1 - SUM('L - SO'!L3) / SUM('L - SO'!M3)), 3)</f>
        <v>0.21299999999999999</v>
      </c>
      <c r="Z8" s="103" t="e">
        <f>ROUND((1 - SUM('L - SO'!L4) / SUM('L - SO'!M4)), 3)</f>
        <v>#DIV/0!</v>
      </c>
      <c r="AA8" s="45">
        <f>'L - SO'!P5</f>
        <v>1933761</v>
      </c>
      <c r="AB8" s="45">
        <f>'L - SO'!Q5</f>
        <v>76383.790000000008</v>
      </c>
      <c r="AC8" s="45">
        <f>SUM('L - SO'!Q2)</f>
        <v>17.600000000000001</v>
      </c>
      <c r="AD8" s="45">
        <f>SUM('L - SO'!Q3)</f>
        <v>76366.19</v>
      </c>
      <c r="AE8" s="45">
        <f>SUM('L - SO'!Q4)</f>
        <v>0</v>
      </c>
      <c r="AF8" s="45">
        <f>'L - SO'!R5</f>
        <v>152743.15000000002</v>
      </c>
      <c r="AG8" s="45">
        <f>'L - SO'!S5</f>
        <v>172854.71</v>
      </c>
      <c r="AH8" s="45">
        <f>'L - SO'!T5</f>
        <v>207932.77</v>
      </c>
      <c r="AI8" s="45">
        <f>'L - SO'!U5</f>
        <v>35078.06</v>
      </c>
      <c r="AJ8" s="103">
        <f>'L - SO'!V5</f>
        <v>0.16869904633117716</v>
      </c>
      <c r="AK8" s="103">
        <f>ROUND((1 - SUM('L - SO'!S2) / SUM('L - SO'!T2)), 3)</f>
        <v>0.22900000000000001</v>
      </c>
      <c r="AL8" s="103">
        <f>ROUND((1 - SUM('L - SO'!S3) / SUM('L - SO'!T3)), 3)</f>
        <v>0.16700000000000001</v>
      </c>
      <c r="AM8" s="112" t="e">
        <f>ROUND((1 - SUM('L - SO'!S4) / SUM('L - SO'!T4)), 3)</f>
        <v>#DIV/0!</v>
      </c>
      <c r="AO8" s="141"/>
      <c r="AP8" s="140"/>
    </row>
    <row r="9" spans="1:47" x14ac:dyDescent="0.25">
      <c r="A9" s="46" t="s">
        <v>18</v>
      </c>
      <c r="B9" s="55">
        <f>'M - All'!C29</f>
        <v>2.5170735036447449</v>
      </c>
      <c r="C9" s="47">
        <f>'M - All'!D29</f>
        <v>262229.07</v>
      </c>
      <c r="D9" s="47">
        <f>SUM('M - All'!D2,'M - All'!D5,'M - All'!D8,'M - All'!D11,'M - All'!D14,'M - All'!D17,'M - All'!D20,'M - All'!D23,'M - All'!D26)</f>
        <v>32518.019999999997</v>
      </c>
      <c r="E9" s="47">
        <f>SUM('M - All'!D3,'M - All'!D6,'M - All'!D9,'M - All'!D12,'M - All'!D15,'M - All'!D18,'M - All'!D21,'M - All'!D24,'M - All'!D27)</f>
        <v>229711.05</v>
      </c>
      <c r="F9" s="47">
        <f>SUM('M - All'!D4,'M - All'!D7,'M - All'!D10,'M - All'!D13,'M - All'!D16,'M - All'!D19,'M - All'!D22,'M - All'!D25,'M - All'!D28)</f>
        <v>0</v>
      </c>
      <c r="G9" s="47">
        <f>'M - All'!E29</f>
        <v>195786.92</v>
      </c>
      <c r="H9" s="47">
        <f>'M - All'!F29</f>
        <v>104180.13999999998</v>
      </c>
      <c r="I9" s="47">
        <f>'M - All'!G29</f>
        <v>134432.84</v>
      </c>
      <c r="J9" s="47">
        <f>'M - All'!H29</f>
        <v>30252.700000000004</v>
      </c>
      <c r="K9" s="104">
        <f>'M - All'!I29</f>
        <v>0.22500000000000001</v>
      </c>
      <c r="L9" s="104">
        <f>ROUND((1 - SUM('M - All'!F2,'M - All'!F5,'M - All'!F8,'M - All'!F11,'M - All'!F14,'M - All'!F17,'M - All'!F20,'M - All'!F23,'M - All'!F26) / SUM('M - All'!G2,'M - All'!G5,'M - All'!G8,'M - All'!G11,'M - All'!G14,'M - All'!G17,'M - All'!G20,'M - All'!G23,'M - All'!G26)), 3)</f>
        <v>0.312</v>
      </c>
      <c r="M9" s="104">
        <f>ROUND((1 - SUM('M - All'!F3,'M - All'!F6,'M - All'!F9,'M - All'!F12,'M - All'!F15,'M - All'!F18,'M - All'!F21,'M - All'!F24,'M - All'!F27) / SUM('M - All'!G3,'M - All'!G6,'M - All'!G9,'M - All'!G12,'M - All'!G15,'M - All'!G18,'M - All'!G21,'M - All'!G24,'M - All'!G27)), 3)</f>
        <v>0.22</v>
      </c>
      <c r="N9" s="104" t="e">
        <f>ROUND((1 - SUM('M - All'!F4,'M - All'!F7,'M - All'!F10,'M - All'!F13,'M - All'!F16,'M - All'!F19,'M - All'!F22,'M - All'!F25,'M - All'!F28) / SUM('M - All'!G4,'M - All'!G7,'M - All'!G10,'M - All'!G13,'M - All'!G16,'M - All'!G19,'M - All'!G22,'M - All'!G25,'M - All'!G28)), 3)</f>
        <v>#DIV/0!</v>
      </c>
      <c r="O9" s="115">
        <f>'M - All'!J29</f>
        <v>194269.16999999995</v>
      </c>
      <c r="P9" s="47">
        <f>SUM('M - All'!J2,'M - All'!J5,'M - All'!J8,'M - All'!J11,'M - All'!J14,'M - All'!J17,'M - All'!J20,'M - All'!J23,'M - All'!J26)</f>
        <v>27834.84</v>
      </c>
      <c r="Q9" s="47">
        <f>SUM('M - All'!J3,'M - All'!J6,'M - All'!J9,'M - All'!J12,'M - All'!J15,'M - All'!J18,'M - All'!J21,'M - All'!J24,'M - All'!J27)</f>
        <v>166434.32999999999</v>
      </c>
      <c r="R9" s="47">
        <f>SUM('M - All'!J4,'M - All'!J7,'M - All'!J10,'M - All'!J13,'M - All'!J16,'M - All'!J19,'M - All'!J22,'M - All'!J25,'M - All'!J28)</f>
        <v>0</v>
      </c>
      <c r="S9" s="47">
        <f>'M - All'!K29</f>
        <v>120546.82</v>
      </c>
      <c r="T9" s="47">
        <f>'M - All'!L29</f>
        <v>201654.43</v>
      </c>
      <c r="U9" s="47">
        <f>'M - All'!M29</f>
        <v>256770.53000000003</v>
      </c>
      <c r="V9" s="47">
        <f>'M - All'!N29</f>
        <v>55116.1</v>
      </c>
      <c r="W9" s="104">
        <f>'M - All'!O29</f>
        <v>0.215</v>
      </c>
      <c r="X9" s="104">
        <f>ROUND((1 - SUM('M - All'!L2,'M - All'!L5,'M - All'!L8,'M - All'!L11,'M - All'!L14,'M - All'!L17,'M - All'!L20,'M - All'!L23,'M - All'!L26) / SUM('M - All'!M2,'M - All'!M5,'M - All'!M8,'M - All'!M11,'M - All'!M14,'M - All'!M17,'M - All'!M20,'M - All'!M23,'M - All'!M26)), 3)</f>
        <v>0.34300000000000003</v>
      </c>
      <c r="Y9" s="104">
        <f>ROUND((1 - SUM('M - All'!L3,'M - All'!L6,'M - All'!L9,'M - All'!L12,'M - All'!L15,'M - All'!L18,'M - All'!L21,'M - All'!L24,'M - All'!L27) / SUM('M - All'!M3,'M - All'!M6,'M - All'!M9,'M - All'!M12,'M - All'!M15,'M - All'!M18,'M - All'!M21,'M - All'!M24,'M - All'!M27)), 3)</f>
        <v>0.20899999999999999</v>
      </c>
      <c r="Z9" s="104" t="e">
        <f>ROUND((1 - SUM('M - All'!L4,'M - All'!L7,'M - All'!L10,'M - All'!L13,'M - All'!L16,'M - All'!L19,'M - All'!L22,'M - All'!L25,'M - All'!L28) / SUM('M - All'!M4,'M - All'!M7,'M - All'!M10,'M - All'!M13,'M - All'!M16,'M - All'!M19,'M - All'!M22,'M - All'!M25,'M - All'!M28)), 3)</f>
        <v>#DIV/0!</v>
      </c>
      <c r="AA9" s="47">
        <f>'M - All'!P29</f>
        <v>2863676</v>
      </c>
      <c r="AB9" s="47">
        <f>'M - All'!Q29</f>
        <v>182512.50999999998</v>
      </c>
      <c r="AC9" s="47">
        <f>SUM('M - All'!Q2,'M - All'!Q5,'M - All'!Q8,'M - All'!Q11,'M - All'!Q14,'M - All'!Q17,'M - All'!Q20,'M - All'!Q23,'M - All'!Q26)</f>
        <v>26924.850000000006</v>
      </c>
      <c r="AD9" s="47">
        <f>SUM('M - All'!Q3,'M - All'!Q6,'M - All'!Q9,'M - All'!Q12,'M - All'!Q15,'M - All'!Q18,'M - All'!Q21,'M - All'!Q24,'M - All'!Q27)</f>
        <v>155587.66</v>
      </c>
      <c r="AE9" s="47">
        <f>SUM('M - All'!Q4,'M - All'!Q7,'M - All'!Q10,'M - All'!Q13,'M - All'!Q16,'M - All'!Q19,'M - All'!Q22,'M - All'!Q25,'M - All'!Q28)</f>
        <v>0</v>
      </c>
      <c r="AF9" s="47">
        <f>'M - All'!R29</f>
        <v>177883.33</v>
      </c>
      <c r="AG9" s="47">
        <f>'M - All'!S29</f>
        <v>197429.64</v>
      </c>
      <c r="AH9" s="47">
        <f>'M - All'!T29</f>
        <v>248451.98</v>
      </c>
      <c r="AI9" s="47">
        <f>'M - All'!U29</f>
        <v>51022.34</v>
      </c>
      <c r="AJ9" s="104">
        <f>'M - All'!V29</f>
        <v>0.20499999999999999</v>
      </c>
      <c r="AK9" s="104">
        <f>ROUND((1 - SUM('M - All'!S2,'M - All'!S5,'M - All'!S8,'M - All'!S11,'M - All'!S14,'M - All'!S17,'M - All'!S20,'M - All'!S23,'M - All'!S26) / SUM('M - All'!T2,'M - All'!T5,'M - All'!T8,'M - All'!T11,'M - All'!T14,'M - All'!T17,'M - All'!T20,'M - All'!T23,'M - All'!T26)), 3)</f>
        <v>0.374</v>
      </c>
      <c r="AL9" s="104">
        <f>ROUND((1 - SUM('M - All'!S3,'M - All'!S6,'M - All'!S9,'M - All'!S12,'M - All'!S15,'M - All'!S18,'M - All'!S21,'M - All'!S24,'M - All'!S27) / SUM('M - All'!T3,'M - All'!T6,'M - All'!T9,'M - All'!T12,'M - All'!T15,'M - All'!T18,'M - All'!T21,'M - All'!T24,'M - All'!T27)), 3)</f>
        <v>0.2</v>
      </c>
      <c r="AM9" s="129" t="e">
        <f>ROUND((1 - SUM('M - All'!S4,'M - All'!S7,'M - All'!S10,'M - All'!S13,'M - All'!S16,'M - All'!S19,'M - All'!S22,'M - All'!S25,'M - All'!S28) / SUM('M - All'!T4,'M - All'!T7,'M - All'!T10,'M - All'!T13,'M - All'!T16,'M - All'!T19,'M - All'!T22,,'M - All'!T25,'M - All'!T28)), 3)</f>
        <v>#DIV/0!</v>
      </c>
      <c r="AN9" s="141">
        <f>$C$9</f>
        <v>262229.07</v>
      </c>
      <c r="AO9" s="141"/>
      <c r="AP9" s="140"/>
    </row>
    <row r="10" spans="1:47" x14ac:dyDescent="0.25">
      <c r="A10" s="46" t="s">
        <v>19</v>
      </c>
      <c r="B10" s="55">
        <f>'M - Stock'!C17</f>
        <v>12.132510707280463</v>
      </c>
      <c r="C10" s="47">
        <f>'M - Stock'!D17</f>
        <v>99090.34</v>
      </c>
      <c r="D10" s="47">
        <f>SUM('M - Stock'!D2,'M - Stock'!D5,'M - Stock'!D8,'M - Stock'!D11,'M - Stock'!D14)</f>
        <v>28647.609999999997</v>
      </c>
      <c r="E10" s="47">
        <f>SUM('M - Stock'!D3,'M - Stock'!D6,'M - Stock'!D9,'M - Stock'!D12,'M - Stock'!D15)</f>
        <v>70442.73000000001</v>
      </c>
      <c r="F10" s="47">
        <f>SUM('M - Stock'!D4,'M - Stock'!D7,'M - Stock'!D10,'M - Stock'!D13,'M - Stock'!D16)</f>
        <v>0</v>
      </c>
      <c r="G10" s="47">
        <f>'M - Stock'!E17</f>
        <v>6841.2000000000007</v>
      </c>
      <c r="H10" s="47">
        <f>'M - Stock'!F17</f>
        <v>8167.3399999999983</v>
      </c>
      <c r="I10" s="47">
        <f>'M - Stock'!G17</f>
        <v>13074.09</v>
      </c>
      <c r="J10" s="47">
        <f>'M - Stock'!H17</f>
        <v>4906.75</v>
      </c>
      <c r="K10" s="104">
        <f>'M - Stock'!I17</f>
        <v>0.37530336719419877</v>
      </c>
      <c r="L10" s="104">
        <f>ROUND((1 - SUM('M - Stock'!F2,'M - Stock'!F5,'M - Stock'!F8,'M - Stock'!F11,'M - Stock'!F14) / SUM('M - Stock'!G2,'M - Stock'!G5,'M - Stock'!G8,'M - Stock'!G11,'M - Stock'!G14)), 3)</f>
        <v>0.36499999999999999</v>
      </c>
      <c r="M10" s="104">
        <f>ROUND((1 - SUM('M - Stock'!F3,'M - Stock'!F6,'M - Stock'!F9,'M - Stock'!F12,'M - Stock'!F15) / SUM('M - Stock'!G3,'M - Stock'!G6,'M - Stock'!G9,'M - Stock'!G12,'M - Stock'!G15)), 3)</f>
        <v>0.38100000000000001</v>
      </c>
      <c r="N10" s="104" t="e">
        <f>ROUND((1 - SUM('M - Stock'!F4,'M - Stock'!F7,'M - Stock'!F10,'M - Stock'!F13,'M - Stock'!F16) / SUM('M - Stock'!G4,'M - Stock'!G7,'M - Stock'!G10,'M - Stock'!G13,'M - Stock'!G16)), 3)</f>
        <v>#DIV/0!</v>
      </c>
      <c r="O10" s="115">
        <f>'M - Stock'!J17</f>
        <v>104388.04000000001</v>
      </c>
      <c r="P10" s="47">
        <f>SUM('M - Stock'!J2,'M - Stock'!J5,'M - Stock'!J8,'M - Stock'!J11,'M - Stock'!J14)</f>
        <v>27279.72</v>
      </c>
      <c r="Q10" s="47">
        <f>SUM('M - Stock'!J3,'M - Stock'!J6,'M - Stock'!J9,'M - Stock'!J12,'M - Stock'!J15)</f>
        <v>77108.320000000007</v>
      </c>
      <c r="R10" s="47">
        <f>SUM('M - Stock'!J4,'M - Stock'!J7,'M - Stock'!J10,'M - Stock'!J13,'M - Stock'!J16)</f>
        <v>0</v>
      </c>
      <c r="S10" s="47">
        <f>'M - Stock'!K17</f>
        <v>9203.49</v>
      </c>
      <c r="T10" s="47">
        <f>'M - Stock'!L17</f>
        <v>9650.84</v>
      </c>
      <c r="U10" s="47">
        <f>'M - Stock'!M17</f>
        <v>15358.960000000001</v>
      </c>
      <c r="V10" s="47">
        <f>'M - Stock'!N17</f>
        <v>5708.1200000000008</v>
      </c>
      <c r="W10" s="104">
        <f>'M - Stock'!O17</f>
        <v>0.37164755947017247</v>
      </c>
      <c r="X10" s="104">
        <f>ROUND((1 - SUM('M - Stock'!L2,'M - Stock'!L5,'M - Stock'!L8,'M - Stock'!L11,'M - Stock'!L14) / SUM('M - Stock'!M2,'M - Stock'!M5,'M - Stock'!M8,'M - Stock'!M11,'M - Stock'!M14)), 3)</f>
        <v>0.38700000000000001</v>
      </c>
      <c r="Y10" s="104">
        <f>ROUND((1 - SUM('M - Stock'!L3,'M - Stock'!L6,'M - Stock'!L9,'M - Stock'!L12,'M - Stock'!L15) / SUM('M - Stock'!M3,'M - Stock'!M6,'M - Stock'!M9,'M - Stock'!M12,'M - Stock'!M15)), 3)</f>
        <v>0.35799999999999998</v>
      </c>
      <c r="Z10" s="104" t="e">
        <f>ROUND((1 - SUM('M - Stock'!L4,'M - Stock'!L7,'M - Stock'!L10,'M - Stock'!L13,'M - Stock'!L16) / SUM('M - Stock'!M4,'M - Stock'!M7,'M - Stock'!M10,'M - Stock'!M13,'M - Stock'!M16)), 3)</f>
        <v>#DIV/0!</v>
      </c>
      <c r="AA10" s="47">
        <f>'M - Stock'!P17</f>
        <v>218812</v>
      </c>
      <c r="AB10" s="47">
        <f>'M - Stock'!Q17</f>
        <v>108424.23999999999</v>
      </c>
      <c r="AC10" s="47">
        <f>SUM('M - Stock'!Q2,'M - Stock'!Q5,'M - Stock'!Q8,'M - Stock'!Q11,'M - Stock'!Q14)</f>
        <v>26539.960000000003</v>
      </c>
      <c r="AD10" s="47">
        <f>SUM('M - Stock'!Q3,'M - Stock'!Q6,'M - Stock'!Q9,'M - Stock'!Q12,'M - Stock'!Q15)</f>
        <v>81884.28</v>
      </c>
      <c r="AE10" s="47">
        <f>SUM('M - Stock'!Q4,'M - Stock'!Q7,'M - Stock'!Q10,'M - Stock'!Q13,'M - Stock'!Q16)</f>
        <v>0</v>
      </c>
      <c r="AF10" s="47">
        <f>'M - Stock'!R17</f>
        <v>4913.63</v>
      </c>
      <c r="AG10" s="47">
        <f>'M - Stock'!S17</f>
        <v>9130.1700000000019</v>
      </c>
      <c r="AH10" s="47">
        <f>'M - Stock'!T17</f>
        <v>15318.32</v>
      </c>
      <c r="AI10" s="47">
        <f>'M - Stock'!U17</f>
        <v>6188.15</v>
      </c>
      <c r="AJ10" s="104">
        <f>'M - Stock'!V17</f>
        <v>0.40397053985032283</v>
      </c>
      <c r="AK10" s="104">
        <f>ROUND((1 - SUM('M - Stock'!S2,'M - Stock'!S5,'M - Stock'!S8,'M - Stock'!S11,'M - Stock'!S14) / SUM('M - Stock'!T2,'M - Stock'!T5,'M - Stock'!T8,'M - Stock'!T11,'M - Stock'!T14)), 3)</f>
        <v>0.39100000000000001</v>
      </c>
      <c r="AL10" s="104">
        <f>ROUND((1 - SUM('M - Stock'!S3,'M - Stock'!S6,'M - Stock'!S9,'M - Stock'!S12,'M - Stock'!S15) / SUM('M - Stock'!T3,'M - Stock'!T6,'M - Stock'!T9,'M - Stock'!T12,'M - Stock'!T15)), 3)</f>
        <v>0.41199999999999998</v>
      </c>
      <c r="AM10" s="129" t="e">
        <f>ROUND((1 - SUM('M - Stock'!S4,'M - Stock'!S7,'M - Stock'!S10,'M - Stock'!S13,'M - Stock'!S16) / SUM('M - Stock'!T4,'M - Stock'!T7,'M - Stock'!T10,'M - Stock'!T13,'M - Stock'!T16)), 3)</f>
        <v>#DIV/0!</v>
      </c>
      <c r="AO10" s="141"/>
      <c r="AP10" s="140"/>
    </row>
    <row r="11" spans="1:47" x14ac:dyDescent="0.25">
      <c r="A11" s="46" t="s">
        <v>20</v>
      </c>
      <c r="B11" s="55">
        <f>'M - SO'!C14</f>
        <v>1.6991352194707372</v>
      </c>
      <c r="C11" s="47">
        <f>'M - SO'!D14</f>
        <v>163138.72999999998</v>
      </c>
      <c r="D11" s="47">
        <f>SUM('M - SO'!D2,'M - SO'!D5,'M - SO'!D8,'M - SO'!D11)</f>
        <v>3870.41</v>
      </c>
      <c r="E11" s="47">
        <f>SUM('M - SO'!D3,'M - SO'!D6,'M - SO'!D9,'M - SO'!D12)</f>
        <v>159268.32</v>
      </c>
      <c r="F11" s="47">
        <f>SUM('M - SO'!D4,'M - SO'!D7,'M - SO'!D10,'M - SO'!D13)</f>
        <v>0</v>
      </c>
      <c r="G11" s="47">
        <f>'M - SO'!E14</f>
        <v>188945.72</v>
      </c>
      <c r="H11" s="47">
        <f>'M - SO'!F14</f>
        <v>96012.799999999988</v>
      </c>
      <c r="I11" s="47">
        <f>'M - SO'!G14</f>
        <v>121358.74999999999</v>
      </c>
      <c r="J11" s="47">
        <f>'M - SO'!H14</f>
        <v>25345.949999999997</v>
      </c>
      <c r="K11" s="104">
        <f>'M - SO'!I14</f>
        <v>0.20885144252062582</v>
      </c>
      <c r="L11" s="104">
        <f>ROUND((1 - SUM('M - SO'!F2,'M - SO'!F5,'M - SO'!F8,'M - SO'!F11) / SUM('M - SO'!G2,'M - SO'!G5,'M - SO'!G8,'M - SO'!G11)), 3)</f>
        <v>0.249</v>
      </c>
      <c r="M11" s="104">
        <f>ROUND((1 - SUM('M - SO'!F3,'M - SO'!F6,'M - SO'!F9,'M - SO'!F12) / SUM('M - SO'!G3,'M - SO'!G6,'M - SO'!G9,'M - SO'!G12)), 3)</f>
        <v>0.20799999999999999</v>
      </c>
      <c r="N11" s="104" t="e">
        <f>ROUND((1 - SUM('M - SO'!F4,'M - SO'!F7,'M - SO'!F10,'M - SO'!F13) / SUM('M - SO'!H4,'M - SO'!H7,'M - SO'!H10,'M - SO'!H13)), 3)</f>
        <v>#DIV/0!</v>
      </c>
      <c r="O11" s="115">
        <f>'M - SO'!J14</f>
        <v>89881.13</v>
      </c>
      <c r="P11" s="47">
        <f>SUM('M - SO'!J2,'M - SO'!J5,'M - SO'!J8,'M - SO'!J11)</f>
        <v>555.11999999999989</v>
      </c>
      <c r="Q11" s="47">
        <f>SUM('M - SO'!J3,'M - SO'!J6,'M - SO'!J9,'M - SO'!J12)</f>
        <v>89326.010000000009</v>
      </c>
      <c r="R11" s="47">
        <f>SUM('M - SO'!J4,'M - SO'!J7,'M - SO'!J10,'M - SO'!J13)</f>
        <v>0</v>
      </c>
      <c r="S11" s="47">
        <f>'M - SO'!K14</f>
        <v>111343.33</v>
      </c>
      <c r="T11" s="47">
        <f>'M - SO'!L14</f>
        <v>192003.59000000003</v>
      </c>
      <c r="U11" s="47">
        <f>'M - SO'!M14</f>
        <v>241411.57</v>
      </c>
      <c r="V11" s="47">
        <f>'M - SO'!N14</f>
        <v>49407.979999999996</v>
      </c>
      <c r="W11" s="104">
        <f>'M - SO'!O14</f>
        <v>0.20466285025195763</v>
      </c>
      <c r="X11" s="104">
        <f>ROUND((1 - SUM('M - SO'!L2,'M - SO'!L5,'M - SO'!L8,'M - SO'!L11) / SUM('M - SO'!M2,'M - SO'!M5,'M - SO'!M8,'M - SO'!M11)), 3)</f>
        <v>0.25700000000000001</v>
      </c>
      <c r="Y11" s="104">
        <f>ROUND((1 - SUM('M - SO'!L3,'M - SO'!L6,'M - SO'!L9,'M - SO'!L12) / SUM('M - SO'!M3,'M - SO'!M6,'M - SO'!M9,'M - SO'!M12)), 3)</f>
        <v>0.20399999999999999</v>
      </c>
      <c r="Z11" s="104" t="e">
        <f>ROUND((1 - SUM('M - SO'!L4,'M - SO'!L7,'M - SO'!L10,'M - SO'!L13) / SUM('M - SO'!M4,'M - SO'!M7,'M - SO'!M10,'M - SO'!M13)), 3)</f>
        <v>#DIV/0!</v>
      </c>
      <c r="AA11" s="47">
        <f>'M - SO'!P14</f>
        <v>2644864</v>
      </c>
      <c r="AB11" s="47">
        <f>'M - SO'!Q14</f>
        <v>74088.27</v>
      </c>
      <c r="AC11" s="47">
        <f>SUM('M - SO'!Q2,'M - SO'!Q5,'M - SO'!Q8,'M - SO'!Q11)</f>
        <v>384.89</v>
      </c>
      <c r="AD11" s="47">
        <f>SUM('M - SO'!Q3,'M - SO'!Q6,'M - SO'!Q9,'M - SO'!Q12)</f>
        <v>73703.38</v>
      </c>
      <c r="AE11" s="47">
        <f>SUM('M - SO'!Q4,'M - SO'!Q7,'M - SO'!Q10,'M - SO'!Q13)</f>
        <v>0</v>
      </c>
      <c r="AF11" s="47">
        <f>'M - SO'!R14</f>
        <v>172969.7</v>
      </c>
      <c r="AG11" s="47">
        <f>'M - SO'!S14</f>
        <v>188299.47</v>
      </c>
      <c r="AH11" s="47">
        <f>'M - SO'!T14</f>
        <v>233133.66</v>
      </c>
      <c r="AI11" s="47">
        <f>'M - SO'!U14</f>
        <v>44834.19</v>
      </c>
      <c r="AJ11" s="104">
        <f>'M - SO'!V14</f>
        <v>0.19231109741939456</v>
      </c>
      <c r="AK11" s="104">
        <f>ROUND((1 - SUM('M - SO'!S2,'M - SO'!S5,'M - SO'!S8,'M - SO'!S11) / SUM('M - SO'!T2,'M - SO'!T5,'M - SO'!T8,'M - SO'!T11)), 3)</f>
        <v>0.30199999999999999</v>
      </c>
      <c r="AL11" s="104">
        <f>ROUND((1 - SUM('M - SO'!S3,'M - SO'!S6,'M - SO'!S9,'M - SO'!S12) / SUM('M - SO'!T3,'M - SO'!T6,'M - SO'!T9,'M - SO'!T12)), 3)</f>
        <v>0.192</v>
      </c>
      <c r="AM11" s="129" t="e">
        <f>ROUND((1 - SUM('M - SO'!S4,'M - SO'!S7,'M - SO'!S10,'M - SO'!S13) / SUM('M - SO'!T4,'M - SO'!T7,'M - SO'!T10,'M - SO'!T13)), 3)</f>
        <v>#DIV/0!</v>
      </c>
      <c r="AO11" s="141"/>
      <c r="AP11" s="140"/>
    </row>
    <row r="12" spans="1:47" x14ac:dyDescent="0.25">
      <c r="A12" s="48" t="s">
        <v>21</v>
      </c>
      <c r="B12" s="56">
        <f>'HW - All'!C50</f>
        <v>6.352267062968493</v>
      </c>
      <c r="C12" s="49">
        <f>'HW - All'!D50</f>
        <v>769599.07000000007</v>
      </c>
      <c r="D12" s="49">
        <f>SUM('HW - All'!D2,'HW - All'!D5,'HW - All'!D8,'HW - All'!D11,'HW - All'!D14,'HW - All'!D17,'HW - All'!D20,'HW - All'!D23,'HW - All'!D26,'HW - All'!D29,'HW - All'!D32,'HW - All'!D35,'HW - All'!D38,'HW - All'!D41,'HW - All'!D44,'HW - All'!D47)</f>
        <v>460824.36</v>
      </c>
      <c r="E12" s="49">
        <f>SUM('HW - All'!D3,'HW - All'!D6,'HW - All'!D9,'HW - All'!D12,'HW - All'!D15,'HW - All'!D18,'HW - All'!D21,'HW - All'!D24,'HW - All'!D27,'HW - All'!D30,'HW - All'!D33,'HW - All'!D36,'HW - All'!D39,'HW - All'!D42,'HW - All'!D45,'HW - All'!D48)</f>
        <v>307429.25999999989</v>
      </c>
      <c r="F12" s="49">
        <f>SUM('HW - All'!D4,'HW - All'!D7,'HW - All'!D10,'HW - All'!D13,'HW - All'!D16,'HW - All'!D19,'HW - All'!D22,'HW - All'!D25,'HW - All'!D28,'HW - All'!D31,'HW - All'!D34,'HW - All'!D37,'HW - All'!D40,'HW - All'!D43,'HW - All'!D46,'HW - All'!D49)</f>
        <v>1345.4499999999998</v>
      </c>
      <c r="G12" s="49">
        <f>'HW - All'!E50</f>
        <v>97871.97000000003</v>
      </c>
      <c r="H12" s="49">
        <f>'HW - All'!F50</f>
        <v>121153.44999999998</v>
      </c>
      <c r="I12" s="49">
        <f>'HW - All'!G50</f>
        <v>183526.12</v>
      </c>
      <c r="J12" s="49">
        <f>'HW - All'!H50</f>
        <v>62372.670000000013</v>
      </c>
      <c r="K12" s="105">
        <f>'HW - All'!I50</f>
        <v>0.34</v>
      </c>
      <c r="L12" s="105">
        <f>ROUND((1 - SUM('HW - All'!F2,'HW - All'!F5,'HW - All'!F8,'HW - All'!F11,'HW - All'!F14,'HW - All'!F17,'HW - All'!F20,'HW - All'!F23,'HW - All'!F26,'HW - All'!F29,'HW - All'!F32,'HW - All'!F35,'HW - All'!F38,'HW - All'!F41,'HW - All'!F44,'HW - All'!F47) / SUM('HW - All'!G2,'HW - All'!G5,'HW - All'!G8,'HW - All'!G11,'HW - All'!G14,'HW - All'!G17,'HW - All'!G20,'HW - All'!G23,'HW - All'!G26,'HW - All'!G29,'HW - All'!G32,'HW - All'!G35,'HW - All'!G38,'HW - All'!G41,'HW - All'!G44,'HW - All'!G47)), 3)</f>
        <v>0.34</v>
      </c>
      <c r="M12" s="105">
        <f>ROUND((1 - SUM('HW - All'!F3,'HW - All'!F6,'HW - All'!F9,'HW - All'!F12,'HW - All'!F15,'HW - All'!F18,'HW - All'!F21,'HW - All'!F24,'HW - All'!F27,'HW - All'!F30,'HW - All'!F33,'HW - All'!F36,'HW - All'!F39,'HW - All'!F42,'HW - All'!F45,'HW - All'!F48) / SUM('HW - All'!G3,'HW - All'!G6,'HW - All'!G9,'HW - All'!G12,'HW - All'!G15,'HW - All'!G18,'HW - All'!G21,'HW - All'!G24,'HW - All'!G27,'HW - All'!G30,'HW - All'!G33,'HW - All'!G36,'HW - All'!G39,'HW - All'!G42,'HW - All'!G45,'HW - All'!G48)), 3)</f>
        <v>0.33800000000000002</v>
      </c>
      <c r="N12" s="105">
        <f>ROUND((1 - SUM('HW - All'!F4,'HW - All'!F7,'HW - All'!F10,'HW - All'!F13,'HW - All'!F16,'HW - All'!F19,'HW - All'!F22,'HW - All'!F25,'HW - All'!F28,'HW - All'!F31,'HW - All'!F34,'HW - All'!F37,'HW - All'!F40,'HW - All'!F43,'HW - All'!F46,'HW - All'!F49) / SUM('HW - All'!G4,'HW - All'!G7,'HW - All'!G10,'HW - All'!G13,'HW - All'!G16,'HW - All'!G19,'HW - All'!G22,'HW - All'!G25,'HW - All'!G28,'HW - All'!G31,'HW - All'!G34,'HW - All'!G37,'HW - All'!G40,'HW - All'!G43,'HW - All'!G46,'HW - All'!G49)), 3)</f>
        <v>0.45100000000000001</v>
      </c>
      <c r="O12" s="116">
        <f>'HW - All'!J50</f>
        <v>718450.2</v>
      </c>
      <c r="P12" s="49">
        <f>SUM('HW - All'!J2,'HW - All'!J5,'HW - All'!J8,'HW - All'!J11,'HW - All'!J14,'HW - All'!J17,'HW - All'!J20,'HW - All'!J23,'HW - All'!J26,'HW - All'!J29,'HW - All'!J32,'HW - All'!J35,'HW - All'!J38,'HW - All'!J41,'HW - All'!J44,'HW - All'!J47)</f>
        <v>435184.42999999993</v>
      </c>
      <c r="Q12" s="49">
        <f>SUM('HW - All'!J3,'HW - All'!J6,'HW - All'!J9,'HW - All'!J12,'HW - All'!J15,'HW - All'!J18,'HW - All'!J21,'HW - All'!J24,'HW - All'!J27,'HW - All'!J30,'HW - All'!J33,'HW - All'!J36,'HW - All'!J39,'HW - All'!J42,'HW - All'!J45,'HW - All'!J48)</f>
        <v>278184.64</v>
      </c>
      <c r="R12" s="49">
        <f>SUM('HW - All'!J4,'HW - All'!J7,'HW - All'!J10,'HW - All'!J13,'HW - All'!J16,'HW - All'!J19,'HW - All'!J22,'HW - All'!J25,'HW - All'!J28,'HW - All'!J31,'HW - All'!J34,'HW - All'!J37,'HW - All'!J40,'HW - All'!J43,'HW - All'!J46,'HW - All'!J49)</f>
        <v>5081.13</v>
      </c>
      <c r="S12" s="49">
        <f>'HW - All'!K50</f>
        <v>106518.69</v>
      </c>
      <c r="T12" s="49">
        <f>'HW - All'!L50</f>
        <v>95329.559999999983</v>
      </c>
      <c r="U12" s="49">
        <f>'HW - All'!M50</f>
        <v>155499.35999999996</v>
      </c>
      <c r="V12" s="49">
        <f>'HW - All'!N50</f>
        <v>60169.80000000001</v>
      </c>
      <c r="W12" s="105">
        <f>'HW - All'!O50</f>
        <v>0.38700000000000001</v>
      </c>
      <c r="X12" s="105">
        <f>ROUND((1 - SUM('HW - All'!L2,'HW - All'!L5,'HW - All'!L8,'HW - All'!L11,'HW - All'!L14,'HW - All'!L17,'HW - All'!L20,'HW - All'!L23,'HW - All'!L26,'HW - All'!L29,'HW - All'!L32,'HW - All'!L35,'HW - All'!L38,'HW - All'!L41,'HW - All'!L44,'HW - All'!L47) / SUM('HW - All'!M2,'HW - All'!M5,'HW - All'!M8,'HW - All'!M11,'HW - All'!M14,'HW - All'!M17,'HW - All'!M20,'HW - All'!M23,'HW - All'!M26,'HW - All'!M29,'HW - All'!M32,'HW - All'!M35,'HW - All'!M38,'HW - All'!M41,'HW - All'!M44,'HW - All'!M47)), 3)</f>
        <v>0.38700000000000001</v>
      </c>
      <c r="Y12" s="105">
        <f>ROUND((1 - SUM('HW - All'!L3,'HW - All'!L6,'HW - All'!L9,'HW - All'!L12,'HW - All'!L15,'HW - All'!L18,'HW - All'!L21,'HW - All'!L24,'HW - All'!L27,'HW - All'!L30,'HW - All'!L33,'HW - All'!L36,'HW - All'!L39,'HW - All'!L42,'HW - All'!L45,'HW - All'!L48) / SUM('HW - All'!M3,'HW - All'!M6,'HW - All'!M9,'HW - All'!M12,'HW - All'!M15,'HW - All'!M18,'HW - All'!M21,'HW - All'!M24,'HW - All'!M27,'HW - All'!M30,'HW - All'!M33,'HW - All'!M36,'HW - All'!M39,'HW - All'!M42,'HW - All'!M45,'HW - All'!M48)), 3)</f>
        <v>0.38900000000000001</v>
      </c>
      <c r="Z12" s="105">
        <f>ROUND((1 - SUM('HW - All'!L4,'HW - All'!L7,'HW - All'!L10,'HW - All'!L13,'HW - All'!L16,'HW - All'!L19,'HW - All'!L22,'HW - All'!L25,'HW - All'!L28,'HW - All'!L31,'HW - All'!L34,'HW - All'!L37,'HW - All'!L40,'HW - All'!L43,'HW - All'!L46,'HW - All'!L49) / SUM('HW - All'!M4,'HW - All'!M7,'HW - All'!M10,'HW - All'!M13,'HW - All'!M16,'HW - All'!M19,'HW - All'!M22,'HW - All'!M25,'HW - All'!M28,'HW - All'!M31,'HW - All'!M34,'HW - All'!M37,'HW - All'!M40,'HW - All'!M43,'HW - All'!M46,'HW - All'!M49)), 3)</f>
        <v>0.30399999999999999</v>
      </c>
      <c r="AA12" s="49">
        <f>'HW - All'!P50</f>
        <v>2620067</v>
      </c>
      <c r="AB12" s="49">
        <f>'HW - All'!Q50</f>
        <v>608889.55000000005</v>
      </c>
      <c r="AC12" s="49">
        <f>SUM('HW - All'!Q2,'HW - All'!Q5,'HW - All'!Q8,'HW - All'!Q11,'HW - All'!Q14,'HW - All'!Q17,'HW - All'!Q20,'HW - All'!Q23,'HW - All'!Q26,'HW - All'!Q29,'HW - All'!Q32,'HW - All'!Q35,'HW - All'!Q38,'HW - All'!Q41,'HW - All'!Q44,'HW - All'!Q47)</f>
        <v>414351.03</v>
      </c>
      <c r="AD12" s="49">
        <f>SUM('HW - All'!Q3,'HW - All'!Q6,'HW - All'!Q9,'HW - All'!Q12,'HW - All'!Q15,'HW - All'!Q18,'HW - All'!Q21,'HW - All'!Q24,'HW - All'!Q27,'HW - All'!Q30,'HW - All'!Q33,'HW - All'!Q36,'HW - All'!Q39,'HW - All'!Q42,'HW - All'!Q45,'HW - All'!Q48)</f>
        <v>194538.52</v>
      </c>
      <c r="AE12" s="49">
        <f>SUM('HW - All'!Q4,'HW - All'!Q7,'HW - All'!Q10,'HW - All'!Q13,'HW - All'!Q16,'HW - All'!Q19,'HW - All'!Q22,'HW - All'!Q25,'HW - All'!Q28,'HW - All'!Q31,'HW - All'!Q34,'HW - All'!Q37,'HW - All'!Q40,'HW - All'!Q43,'HW - All'!Q46,'HW - All'!Q49)</f>
        <v>0</v>
      </c>
      <c r="AF12" s="49">
        <f>'HW - All'!R50</f>
        <v>100816.67</v>
      </c>
      <c r="AG12" s="49">
        <f>'HW - All'!S50</f>
        <v>110684.89</v>
      </c>
      <c r="AH12" s="49">
        <f>'HW - All'!T50</f>
        <v>183668.34000000003</v>
      </c>
      <c r="AI12" s="49">
        <f>'HW - All'!U50</f>
        <v>72983.450000000012</v>
      </c>
      <c r="AJ12" s="105">
        <f>'HW - All'!V50</f>
        <v>0.39700000000000002</v>
      </c>
      <c r="AK12" s="105">
        <f>ROUND((1 - SUM('HW - All'!S2,'HW - All'!S5,'HW - All'!S8,'HW - All'!S11,'HW - All'!S14,'HW - All'!S17,'HW - All'!S20,'HW - All'!S23,'HW - All'!S26,'HW - All'!S29,'HW - All'!S32,'HW - All'!S35,'HW - All'!S38,'HW - All'!S41,'HW - All'!S44,'HW - All'!S47) / SUM('HW - All'!T2,'HW - All'!T5,'HW - All'!T8,'HW - All'!T11,'HW - All'!T14,'HW - All'!T17,'HW - All'!T20,'HW - All'!T23,'HW - All'!T26,'HW - All'!T29,'HW - All'!T32,'HW - All'!T35,'HW - All'!T38,'HW - All'!T41,'HW - All'!T44,'HW - All'!T47)), 3)</f>
        <v>0.40600000000000003</v>
      </c>
      <c r="AL12" s="105">
        <f>ROUND((1 - SUM('HW - All'!S3,'HW - All'!S6,'HW - All'!S9,'HW - All'!S12,'HW - All'!S15,'HW - All'!S18,'HW - All'!S21,'HW - All'!S24,'HW - All'!S27,'HW - All'!S30,'HW - All'!S33,'HW - All'!S36,'HW - All'!S39,'HW - All'!S42,'HW - All'!S45,'HW - All'!S48) / SUM('HW - All'!T3,'HW - All'!T6,'HW - All'!T9,'HW - All'!T12,'HW - All'!T15,'HW - All'!T18,'HW - All'!T21,'HW - All'!T24,'HW - All'!T27,'HW - All'!T30,'HW - All'!T33,'HW - All'!T36,'HW - All'!T39,'HW - All'!T42,'HW - All'!T45,'HW - All'!T48)), 3)</f>
        <v>0.36299999999999999</v>
      </c>
      <c r="AM12" s="130" t="e">
        <f>ROUND((1 - SUM('HW - All'!S4,'HW - All'!S7,'HW - All'!S10,'HW - All'!S13,'HW - All'!S16,'HW - All'!S19,'HW - All'!S22,'HW - All'!S25,'HW - All'!S28,'HW - All'!S31,'HW - All'!S34,'HW - All'!S37,'HW - All'!S40,'HW - All'!S43,'HW - All'!S46,'HW - All'!S49) / SUM('HW - All'!T4,'HW - All'!T7,'HW - All'!T10,'HW - All'!T13,'HW - All'!T16,'HW - All'!T19,'HW - All'!T22,'HW - All'!T25,'HW - All'!T28,'HW - All'!T31,'HW - All'!T34,'HW - All'!T37,'HW - All'!T40,'HW - All'!T43,'HW - All'!T46,'HW - All'!T49)), 3)</f>
        <v>#DIV/0!</v>
      </c>
      <c r="AN12" s="141">
        <f>$C$12</f>
        <v>769599.07000000007</v>
      </c>
      <c r="AO12" s="141">
        <v>641000</v>
      </c>
      <c r="AP12" s="144">
        <f>SUM(AN12-AO12)</f>
        <v>128599.07000000007</v>
      </c>
    </row>
    <row r="13" spans="1:47" x14ac:dyDescent="0.25">
      <c r="A13" s="48" t="s">
        <v>22</v>
      </c>
      <c r="B13" s="56">
        <f>'HW - Stock'!C47</f>
        <v>6.5606321280953619</v>
      </c>
      <c r="C13" s="49">
        <f>'HW - Stock'!D47</f>
        <v>760679.84000000008</v>
      </c>
      <c r="D13" s="49">
        <f>SUM('HW - Stock'!D2,'HW - Stock'!D5,'HW - Stock'!D8,'HW - Stock'!D11,'HW - Stock'!D14,'HW - Stock'!D17,'HW - Stock'!D20,'HW - Stock'!D23,'HW - Stock'!D26,'HW - Stock'!D29,'HW - Stock'!D32,'HW - Stock'!D35,'HW - Stock'!D38,'HW - Stock'!D41,'HW - Stock'!D44)</f>
        <v>452469.25</v>
      </c>
      <c r="E13" s="49">
        <f>SUM('HW - Stock'!D3,'HW - Stock'!D6,'HW - Stock'!D9,'HW - Stock'!D12,'HW - Stock'!D15,'HW - Stock'!D18,'HW - Stock'!D21,'HW - Stock'!D24,'HW - Stock'!D27,'HW - Stock'!D30,'HW - Stock'!D33,'HW - Stock'!D36,'HW - Stock'!D39,'HW - Stock'!D42,'HW - Stock'!D45)</f>
        <v>306865.1399999999</v>
      </c>
      <c r="F13" s="49">
        <f>SUM('HW - Stock'!D4,'HW - Stock'!D7,'HW - Stock'!D10,'HW - Stock'!D13,'HW - Stock'!D16,'HW - Stock'!D19,'HW - Stock'!D22,'HW - Stock'!D25,'HW - Stock'!D28,'HW - Stock'!D31,'HW - Stock'!D34,'HW - Stock'!D37,'HW - Stock'!D40,'HW - Stock'!D43,'HW - Stock'!D46)</f>
        <v>1345.4499999999998</v>
      </c>
      <c r="G13" s="49">
        <f>'HW - Stock'!E47</f>
        <v>92400.990000000034</v>
      </c>
      <c r="H13" s="49">
        <f>'HW - Stock'!F47</f>
        <v>115946.11999999998</v>
      </c>
      <c r="I13" s="49">
        <f>'HW - Stock'!G47</f>
        <v>176802.34</v>
      </c>
      <c r="J13" s="49">
        <f>'HW - Stock'!H47</f>
        <v>60856.220000000016</v>
      </c>
      <c r="K13" s="105">
        <f>'HW - Stock'!I47</f>
        <v>0.34420483348806363</v>
      </c>
      <c r="L13" s="105">
        <f>ROUND((1 - SUM('HW - Stock'!F2,'HW - Stock'!F5,'HW - Stock'!F8,'HW - Stock'!F11,'HW - Stock'!F14,'HW - Stock'!F17,'HW - Stock'!F20,'HW - Stock'!F23,'HW - Stock'!F26,'HW - Stock'!F29,'HW - Stock'!F32,'HW - Stock'!F35,'HW - Stock'!F38,'HW - Stock'!F41,'HW - Stock'!F44) / SUM('HW - Stock'!G2,'HW - Stock'!G5,'HW - Stock'!G8,'HW - Stock'!G11,'HW - Stock'!G14,'HW - Stock'!G17,'HW - Stock'!G20,'HW - Stock'!G23,'HW - Stock'!G26,'HW - Stock'!G29,'HW - Stock'!G32,'HW - Stock'!G35,'HW - Stock'!G38,'HW - Stock'!G41,'HW - Stock'!G44)), 3)</f>
        <v>0.34200000000000003</v>
      </c>
      <c r="M13" s="105">
        <f>ROUND((1 - SUM('HW - Stock'!F3,'HW - Stock'!F6,'HW - Stock'!F9,'HW - Stock'!F12,'HW - Stock'!F15,'HW - Stock'!F18,'HW - Stock'!F21,'HW - Stock'!F24,'HW - Stock'!F27,'HW - Stock'!F30,'HW - Stock'!F33,'HW - Stock'!F36,'HW - Stock'!F39,'HW - Stock'!F42,'HW - Stock'!F45) / SUM('HW - Stock'!G3,'HW - Stock'!G6,'HW - Stock'!G9,'HW - Stock'!G12,'HW - Stock'!G15,'HW - Stock'!G18,'HW - Stock'!G21,'HW - Stock'!G24,'HW - Stock'!G27,'HW - Stock'!G30,'HW - Stock'!G33,'HW - Stock'!G36,'HW - Stock'!G39,'HW - Stock'!G42,'HW - Stock'!G45)), 3)</f>
        <v>0.35399999999999998</v>
      </c>
      <c r="N13" s="105">
        <f>ROUND((1 - SUM('HW - Stock'!F4,'HW - Stock'!F7,'HW - Stock'!F10,'HW - Stock'!F13,'HW - Stock'!F16,'HW - Stock'!F19,'HW - Stock'!F22,'HW - Stock'!F25,'HW - Stock'!F28,'HW - Stock'!F31,'HW - Stock'!F34,'HW - Stock'!F37,'HW - Stock'!F40,'HW - Stock'!F43,'HW - Stock'!F46) / SUM('HW - Stock'!G4,'HW - Stock'!G7,'HW - Stock'!G10,'HW - Stock'!G13,'HW - Stock'!G16,'HW - Stock'!G19,'HW - Stock'!G22,'HW - Stock'!G25,'HW - Stock'!G28,'HW - Stock'!G31,'HW - Stock'!G34,'HW - Stock'!G37,'HW - Stock'!G40,'HW - Stock'!G43,'HW - Stock'!G46)), 3)</f>
        <v>0.45100000000000001</v>
      </c>
      <c r="O13" s="116">
        <f>'HW - Stock'!J47</f>
        <v>718032.12999999989</v>
      </c>
      <c r="P13" s="49">
        <f>SUM('HW - Stock'!J2,'HW - Stock'!J5,'HW - Stock'!J8,'HW - Stock'!J11,'HW - Stock'!J14,'HW - Stock'!J17,'HW - Stock'!J20,'HW - Stock'!J23,'HW - Stock'!J26,'HW - Stock'!J29,'HW - Stock'!J32,'HW - Stock'!J35,'HW - Stock'!J38,'HW - Stock'!J41,'HW - Stock'!J44)</f>
        <v>435112.49999999994</v>
      </c>
      <c r="Q13" s="49">
        <f>SUM('HW - Stock'!J3,'HW - Stock'!J6,'HW - Stock'!J9,'HW - Stock'!J12,'HW - Stock'!J15,'HW - Stock'!J18,'HW - Stock'!J21,'HW - Stock'!J24,'HW - Stock'!J27,'HW - Stock'!J30,'HW - Stock'!J33,'HW - Stock'!J36,'HW - Stock'!J39,'HW - Stock'!J42,'HW - Stock'!J45)</f>
        <v>277838.5</v>
      </c>
      <c r="R13" s="49">
        <f>SUM('HW - Stock'!J4,'HW - Stock'!J7,'HW - Stock'!J10,'HW - Stock'!J13,'HW - Stock'!J16,'HW - Stock'!J19,'HW - Stock'!J22,'HW - Stock'!J25,'HW - Stock'!J28,'HW - Stock'!J31,'HW - Stock'!J34,'HW - Stock'!J37,'HW - Stock'!J40,'HW - Stock'!J43,'HW - Stock'!J46)</f>
        <v>5081.13</v>
      </c>
      <c r="S13" s="49">
        <f>'HW - Stock'!K47</f>
        <v>103023.18</v>
      </c>
      <c r="T13" s="49">
        <f>'HW - Stock'!L47</f>
        <v>91930.079999999987</v>
      </c>
      <c r="U13" s="49">
        <f>'HW - Stock'!M47</f>
        <v>150479.55999999997</v>
      </c>
      <c r="V13" s="49">
        <f>'HW - Stock'!N47</f>
        <v>58549.48000000001</v>
      </c>
      <c r="W13" s="105">
        <f>'HW - Stock'!O47</f>
        <v>0.3890859329998041</v>
      </c>
      <c r="X13" s="105">
        <f>ROUND((1 - SUM('HW - Stock'!L2,'HW - Stock'!L5,'HW - Stock'!L8,'HW - Stock'!L11,'HW - Stock'!L14,'HW - Stock'!L17,'HW - Stock'!L20,'HW - Stock'!L23,'HW - Stock'!L26,'HW - Stock'!L29,'HW - Stock'!L32,'HW - Stock'!L35,'HW - Stock'!L38,'HW - Stock'!L41,'HW - Stock'!L44) / SUM('HW - Stock'!M2,'HW - Stock'!M5,'HW - Stock'!M8,'HW - Stock'!M11,'HW - Stock'!M14,'HW - Stock'!M17,'HW - Stock'!M20,'HW - Stock'!M23,'HW - Stock'!M26,'HW - Stock'!M29,'HW - Stock'!M32,'HW - Stock'!M35,'HW - Stock'!M38,'HW - Stock'!M41,'HW - Stock'!M44)), 3)</f>
        <v>0.38800000000000001</v>
      </c>
      <c r="Y13" s="105">
        <f>ROUND((1 - SUM('HW - Stock'!L3,'HW - Stock'!L6,'HW - Stock'!L9,'HW - Stock'!L12,'HW - Stock'!L15,'HW - Stock'!L18,'HW - Stock'!L21,'HW - Stock'!L24,'HW - Stock'!L27,'HW - Stock'!L30,'HW - Stock'!L33,'HW - Stock'!L36,'HW - Stock'!L39,'HW - Stock'!L42,'HW - Stock'!L45) / SUM('HW - Stock'!M3,'HW - Stock'!M6,'HW - Stock'!M9,'HW - Stock'!M12,'HW - Stock'!M15,'HW - Stock'!M18,'HW - Stock'!M21,'HW - Stock'!M24,'HW - Stock'!M27,'HW - Stock'!M30,'HW - Stock'!M33,'HW - Stock'!M36,'HW - Stock'!M39,'HW - Stock'!M42,'HW - Stock'!M45)), 3)</f>
        <v>0.39500000000000002</v>
      </c>
      <c r="Z13" s="105">
        <f>ROUND((1 - SUM('HW - Stock'!L4,'HW - Stock'!L7,'HW - Stock'!L10,'HW - Stock'!L13,'HW - Stock'!L16,'HW - Stock'!L19,'HW - Stock'!L22,'HW - Stock'!L25,'HW - Stock'!L28,'HW - Stock'!L31,'HW - Stock'!L34,'HW - Stock'!L37,'HW - Stock'!L40,'HW - Stock'!L43,'HW - Stock'!L46) / SUM('HW - Stock'!M4,'HW - Stock'!M7,'HW - Stock'!M10,'HW - Stock'!M13,'HW - Stock'!M16,'HW - Stock'!M19,'HW - Stock'!M22,'HW - Stock'!M25,'HW - Stock'!M28,'HW - Stock'!M31,'HW - Stock'!M34,'HW - Stock'!M37,'HW - Stock'!M40,'HW - Stock'!M43,'HW - Stock'!M46)), 3)</f>
        <v>0.30399999999999999</v>
      </c>
      <c r="AA13" s="49">
        <f>'HW - Stock'!P47</f>
        <v>2382944</v>
      </c>
      <c r="AB13" s="49">
        <f>'HW - Stock'!Q47</f>
        <v>607649.26</v>
      </c>
      <c r="AC13" s="49">
        <f>SUM('HW - Stock'!Q2,'HW - Stock'!Q5,'HW - Stock'!Q8,'HW - Stock'!Q11,'HW - Stock'!Q14,'HW - Stock'!Q17,'HW - Stock'!Q20,'HW - Stock'!Q23,'HW - Stock'!Q26,'HW - Stock'!Q29,'HW - Stock'!Q32,'HW - Stock'!Q35,'HW - Stock'!Q38,'HW - Stock'!Q41,'HW - Stock'!Q44)</f>
        <v>413779.67000000004</v>
      </c>
      <c r="AD13" s="49">
        <f>SUM('HW - Stock'!Q3,'HW - Stock'!Q6,'HW - Stock'!Q9,'HW - Stock'!Q12,'HW - Stock'!Q15,'HW - Stock'!Q18,'HW - Stock'!Q21,'HW - Stock'!Q24,'HW - Stock'!Q27,'HW - Stock'!Q30,'HW - Stock'!Q33,'HW - Stock'!Q36,'HW - Stock'!Q39,'HW - Stock'!Q42,'HW - Stock'!Q45)</f>
        <v>193869.59</v>
      </c>
      <c r="AE13" s="49">
        <f>SUM('HW - Stock'!Q4,'HW - Stock'!Q7,'HW - Stock'!Q10,'HW - Stock'!Q13,'HW - Stock'!Q16,'HW - Stock'!Q19,'HW - Stock'!Q22,'HW - Stock'!Q25,'HW - Stock'!Q28,'HW - Stock'!Q31,'HW - Stock'!Q34,'HW - Stock'!Q37,'HW - Stock'!Q40,'HW - Stock'!Q43,'HW - Stock'!Q46)</f>
        <v>0</v>
      </c>
      <c r="AF13" s="49">
        <f>'HW - Stock'!R47</f>
        <v>92042.99</v>
      </c>
      <c r="AG13" s="49">
        <f>'HW - Stock'!S47</f>
        <v>103161.59999999999</v>
      </c>
      <c r="AH13" s="49">
        <f>'HW - Stock'!T47</f>
        <v>173101.11000000004</v>
      </c>
      <c r="AI13" s="49">
        <f>'HW - Stock'!U47</f>
        <v>69939.510000000009</v>
      </c>
      <c r="AJ13" s="105">
        <f>'HW - Stock'!V47</f>
        <v>0.40403848363537376</v>
      </c>
      <c r="AK13" s="105">
        <f>ROUND((1 - SUM('HW - Stock'!S2,'HW - Stock'!S5,'HW - Stock'!S8,'HW - Stock'!S11,'HW - Stock'!S14,'HW - Stock'!S17,'HW - Stock'!S20,'HW - Stock'!S23,'HW - Stock'!S26,'HW - Stock'!S29,'HW - Stock'!S32,'HW - Stock'!S35,'HW - Stock'!S38,'HW - Stock'!S41,'HW - Stock'!S44) / SUM('HW - Stock'!T2,'HW - Stock'!T5,'HW - Stock'!T8,'HW - Stock'!T11,'HW - Stock'!T14,'HW - Stock'!T17,'HW - Stock'!T20,'HW - Stock'!T23,'HW - Stock'!T26,'HW - Stock'!T29,'HW - Stock'!T32,'HW - Stock'!T35,'HW - Stock'!T38,'HW - Stock'!T41,'HW - Stock'!T44)), 3)</f>
        <v>0.41</v>
      </c>
      <c r="AL13" s="105">
        <f>ROUND((1 - SUM('HW - Stock'!S3,'HW - Stock'!S6,'HW - Stock'!S9,'HW - Stock'!S12,'HW - Stock'!S15,'HW - Stock'!S18,'HW - Stock'!S21,'HW - Stock'!S24,'HW - Stock'!S27,'HW - Stock'!S30,'HW - Stock'!S33,'HW - Stock'!S36,'HW - Stock'!S39,'HW - Stock'!S42,'HW - Stock'!S45) / SUM('HW - Stock'!T3,'HW - Stock'!T6,'HW - Stock'!T9,'HW - Stock'!T12,'HW - Stock'!T15,'HW - Stock'!T18,'HW - Stock'!T21,'HW - Stock'!T24,'HW - Stock'!T27,'HW - Stock'!T30,'HW - Stock'!T33,'HW - Stock'!T36,'HW - Stock'!T39,'HW - Stock'!T42,'HW - Stock'!T45)), 3)</f>
        <v>0.38200000000000001</v>
      </c>
      <c r="AM13" s="130" t="e">
        <f>ROUND((1 - SUM('HW - Stock'!S4,'HW - Stock'!S7,'HW - Stock'!S10,'HW - Stock'!S13,'HW - Stock'!S16,'HW - Stock'!S19,'HW - Stock'!S22,'HW - Stock'!S25,'HW - Stock'!S28,'HW - Stock'!S31,'HW - Stock'!S34,'HW - Stock'!S37,'HW - Stock'!S40,'HW - Stock'!S43,'HW - Stock'!S46) / SUM('HW - Stock'!T4,'HW - Stock'!T7,'HW - Stock'!T10,'HW - Stock'!T13,'HW - Stock'!T16,'HW - Stock'!T19,'HW - Stock'!T22,'HW - Stock'!T25,'HW - Stock'!T28,'HW - Stock'!T31,'HW - Stock'!T34,'HW - Stock'!T37,'HW - Stock'!T40,'HW - Stock'!T43,'HW - Stock'!T46)), 3)</f>
        <v>#DIV/0!</v>
      </c>
      <c r="AO13" s="141"/>
      <c r="AP13" s="140"/>
    </row>
    <row r="14" spans="1:47" x14ac:dyDescent="0.25">
      <c r="A14" s="48" t="s">
        <v>23</v>
      </c>
      <c r="B14" s="56">
        <f>'HW - SO'!C5</f>
        <v>1.712822118052822</v>
      </c>
      <c r="C14" s="49">
        <f>'HW - SO'!D5</f>
        <v>8919.2300000000014</v>
      </c>
      <c r="D14" s="49">
        <f>SUM('HW - SO'!D2)</f>
        <v>8355.11</v>
      </c>
      <c r="E14" s="49">
        <f>SUM('HW - SO'!D3)</f>
        <v>564.12</v>
      </c>
      <c r="F14" s="49">
        <f>SUM('HW - SO'!D4)</f>
        <v>0</v>
      </c>
      <c r="G14" s="49">
        <f>'HW - SO'!E5</f>
        <v>5470.98</v>
      </c>
      <c r="H14" s="49">
        <f>'HW - SO'!F5</f>
        <v>5207.33</v>
      </c>
      <c r="I14" s="49">
        <f>'HW - SO'!G5</f>
        <v>6723.78</v>
      </c>
      <c r="J14" s="49">
        <f>'HW - SO'!H5</f>
        <v>1516.45</v>
      </c>
      <c r="K14" s="105">
        <f>'HW - SO'!I5</f>
        <v>0.22553533875290388</v>
      </c>
      <c r="L14" s="105">
        <f>ROUND((1 - SUM('HW - SO'!F2) / SUM('HW - SO'!G2)), 3)</f>
        <v>0.254</v>
      </c>
      <c r="M14" s="105">
        <f>ROUND((1 - SUM('HW - SO'!F3) / SUM('HW - SO'!G3)), 3)</f>
        <v>0.186</v>
      </c>
      <c r="N14" s="105" t="e">
        <f>ROUND((1 - SUM('HW - SO'!F4) / SUM('HW - SO'!G4)), 3)</f>
        <v>#DIV/0!</v>
      </c>
      <c r="O14" s="116">
        <f>'HW - SO'!J5</f>
        <v>418.07</v>
      </c>
      <c r="P14" s="49">
        <f>SUM('HW - SO'!J2)</f>
        <v>71.930000000000007</v>
      </c>
      <c r="Q14" s="49">
        <f>SUM('HW - SO'!J3)</f>
        <v>346.14</v>
      </c>
      <c r="R14" s="49">
        <f>SUM('HW - SO'!J4)</f>
        <v>0</v>
      </c>
      <c r="S14" s="49">
        <f>'HW - SO'!K5</f>
        <v>3495.51</v>
      </c>
      <c r="T14" s="49">
        <f>'HW - SO'!L5</f>
        <v>3399.4799999999996</v>
      </c>
      <c r="U14" s="49">
        <f>'HW - SO'!M5</f>
        <v>5019.8</v>
      </c>
      <c r="V14" s="49">
        <f>'HW - SO'!N5</f>
        <v>1620.32</v>
      </c>
      <c r="W14" s="105">
        <f>'HW - SO'!O5</f>
        <v>0.32278576835730521</v>
      </c>
      <c r="X14" s="105">
        <f>ROUND((1 - SUM('HW - SO'!L2) / SUM('HW - SO'!M2)), 3)</f>
        <v>0.32800000000000001</v>
      </c>
      <c r="Y14" s="105">
        <f>ROUND((1 - SUM('HW - SO'!L3) / SUM('HW - SO'!M3)), 3)</f>
        <v>0.317</v>
      </c>
      <c r="Z14" s="105" t="e">
        <f>ROUND((1 - SUM('HW - SO'!L4) / SUM('HW - SO'!M4)), 3)</f>
        <v>#DIV/0!</v>
      </c>
      <c r="AA14" s="49">
        <f>'HW - SO'!P5</f>
        <v>237123</v>
      </c>
      <c r="AB14" s="49">
        <f>'HW - SO'!Q5</f>
        <v>1240.29</v>
      </c>
      <c r="AC14" s="49">
        <f>SUM('HW - SO'!Q2)</f>
        <v>571.36</v>
      </c>
      <c r="AD14" s="49">
        <f>SUM('HW - SO'!Q3)</f>
        <v>668.93</v>
      </c>
      <c r="AE14" s="49">
        <f>SUM('HW - SO'!Q4)</f>
        <v>0</v>
      </c>
      <c r="AF14" s="49">
        <f>'HW - SO'!R5</f>
        <v>8773.68</v>
      </c>
      <c r="AG14" s="49">
        <f>'HW - SO'!S5</f>
        <v>7523.29</v>
      </c>
      <c r="AH14" s="49">
        <f>'HW - SO'!T5</f>
        <v>10567.23</v>
      </c>
      <c r="AI14" s="49">
        <f>'HW - SO'!U5</f>
        <v>3043.94</v>
      </c>
      <c r="AJ14" s="105">
        <f>'HW - SO'!V5</f>
        <v>0.28805467468769008</v>
      </c>
      <c r="AK14" s="105">
        <f>ROUND((1 - SUM('HW - SO'!S2) / SUM('HW - SO'!T2)), 3)</f>
        <v>0.34399999999999997</v>
      </c>
      <c r="AL14" s="105">
        <f>ROUND((1 - SUM('HW - SO'!S3) / SUM('HW - SO'!T3)), 3)</f>
        <v>0.17399999999999999</v>
      </c>
      <c r="AM14" s="130" t="e">
        <f>ROUND((1 - SUM('HW - SO'!S4) / SUM('HW - SO'!T4)), 3)</f>
        <v>#DIV/0!</v>
      </c>
      <c r="AO14" s="141"/>
      <c r="AP14" s="140"/>
    </row>
    <row r="15" spans="1:47" x14ac:dyDescent="0.25">
      <c r="A15" s="50" t="s">
        <v>24</v>
      </c>
      <c r="B15" s="57">
        <f>'P - All'!C11</f>
        <v>4.4165544083519439</v>
      </c>
      <c r="C15" s="51">
        <f>'P - All'!D12</f>
        <v>361461.81</v>
      </c>
      <c r="D15" s="51">
        <f>SUM('P - All'!D2,'P - All'!D8)</f>
        <v>240882.22</v>
      </c>
      <c r="E15" s="51">
        <f>SUM('P - All'!D3,'P - All'!D9)</f>
        <v>15158.81</v>
      </c>
      <c r="F15" s="51">
        <f>SUM('P - All'!D4,'P - All'!D10)</f>
        <v>104074.86</v>
      </c>
      <c r="G15" s="51">
        <f>'P - All'!E12</f>
        <v>72058.969999999987</v>
      </c>
      <c r="H15" s="51">
        <f>'P - All'!F12</f>
        <v>78963.860000000015</v>
      </c>
      <c r="I15" s="51">
        <f>'P - All'!G12</f>
        <v>112230.19</v>
      </c>
      <c r="J15" s="51">
        <f>'P - All'!H12</f>
        <v>33266.329999999994</v>
      </c>
      <c r="K15" s="106">
        <f>'P - All'!I12</f>
        <v>0.29599999999999999</v>
      </c>
      <c r="L15" s="106">
        <f>ROUND((1 - SUM('P - All'!F2,'P - All'!F8) / SUM('P - All'!G2,'P - All'!G8)), 3)</f>
        <v>0.27500000000000002</v>
      </c>
      <c r="M15" s="106">
        <f>ROUND((1 - SUM('P - All'!F3,'P - All'!F9) / SUM('P - All'!G3,'P - All'!G9)), 3)</f>
        <v>0.35099999999999998</v>
      </c>
      <c r="N15" s="106">
        <f>ROUND((1 - SUM('P - All'!F4,'P - All'!F10) / SUM('P - All'!G4,'P - All'!G10)), 3)</f>
        <v>0.24399999999999999</v>
      </c>
      <c r="O15" s="117">
        <f>'P - All'!J12</f>
        <v>374454.71</v>
      </c>
      <c r="P15" s="51">
        <f>SUM('P - All'!J2,'P - All'!J8)</f>
        <v>245036.22</v>
      </c>
      <c r="Q15" s="51">
        <f>SUM('P - All'!J3,'P - All'!J9)</f>
        <v>24031.93</v>
      </c>
      <c r="R15" s="51">
        <f>SUM('P - All'!J4,'P - All'!J10)</f>
        <v>104408.2</v>
      </c>
      <c r="S15" s="51">
        <f>'P - All'!K12</f>
        <v>38396.049999999996</v>
      </c>
      <c r="T15" s="51">
        <f>'P - All'!L12</f>
        <v>40826.110000000008</v>
      </c>
      <c r="U15" s="51">
        <f>'P - All'!M12</f>
        <v>115847.34</v>
      </c>
      <c r="V15" s="51">
        <f>'P - All'!N12</f>
        <v>75021.23000000001</v>
      </c>
      <c r="W15" s="106">
        <f>'P - All'!O12</f>
        <v>0.64800000000000002</v>
      </c>
      <c r="X15" s="106">
        <f>ROUND((1 - SUM('P - All'!L2,'P - All'!L8) / SUM('P - All'!M2,'P - All'!M8)), 3)</f>
        <v>0.27200000000000002</v>
      </c>
      <c r="Y15" s="106">
        <f>ROUND((1 - SUM('P - All'!L3,'P - All'!L9) / SUM('P - All'!M3,'P - All'!M9)), 3)</f>
        <v>0.39</v>
      </c>
      <c r="Z15" s="106">
        <f>ROUND((1 - SUM('P - All'!L4,'P - All'!L10) / SUM('P - All'!M4,'P - All'!M10)), 3)</f>
        <v>0.27400000000000002</v>
      </c>
      <c r="AA15" s="51">
        <f>'P - All'!P12</f>
        <v>1805075</v>
      </c>
      <c r="AB15" s="51">
        <f>'P - All'!Q12</f>
        <v>292493.43000000005</v>
      </c>
      <c r="AC15" s="51">
        <f>SUM('P - All'!Q2,'P - All'!Q8)</f>
        <v>223706.26</v>
      </c>
      <c r="AD15" s="51">
        <f>SUM('P - All'!Q3,'P - All'!Q9)</f>
        <v>68787.17</v>
      </c>
      <c r="AE15" s="51">
        <f>SUM('P - All'!Q4,'P - All'!Q10)</f>
        <v>0</v>
      </c>
      <c r="AF15" s="51">
        <f>'P - All'!R12</f>
        <v>75370.97</v>
      </c>
      <c r="AG15" s="51">
        <f>'P - All'!S12</f>
        <v>71980.28</v>
      </c>
      <c r="AH15" s="51">
        <f>'P - All'!T12</f>
        <v>104361.93000000001</v>
      </c>
      <c r="AI15" s="51">
        <f>'P - All'!U12</f>
        <v>32381.649999999998</v>
      </c>
      <c r="AJ15" s="106">
        <f>'P - All'!V12</f>
        <v>0.31</v>
      </c>
      <c r="AK15" s="106">
        <f>ROUND((1 - SUM('P - All'!S2,'P - All'!S8) / SUM('P - All'!T2,'P - All'!T8)), 3)</f>
        <v>0.28799999999999998</v>
      </c>
      <c r="AL15" s="106">
        <f>ROUND((1 - SUM('P - All'!S3,'P - All'!S9) / SUM('P - All'!T3,'P - All'!T9)), 3)</f>
        <v>0.318</v>
      </c>
      <c r="AM15" s="131" t="e">
        <f>ROUND((1 - SUM('P - All'!S4,'P - All'!S10) / SUM('P - All'!T4,'P - All'!T10)), 3)</f>
        <v>#DIV/0!</v>
      </c>
      <c r="AN15" s="141">
        <f>$C$15</f>
        <v>361461.81</v>
      </c>
      <c r="AO15" s="141">
        <v>275000</v>
      </c>
      <c r="AP15" s="144">
        <f>SUM(AN15-AO15)</f>
        <v>86461.81</v>
      </c>
    </row>
    <row r="16" spans="1:47" x14ac:dyDescent="0.25">
      <c r="A16" s="96" t="s">
        <v>25</v>
      </c>
      <c r="B16" s="98">
        <f>'P - Stock'!C8</f>
        <v>4.4558535466026941</v>
      </c>
      <c r="C16" s="97">
        <f>'P - Stock'!D8</f>
        <v>360115.89</v>
      </c>
      <c r="D16" s="97">
        <f>SUM('P - Stock'!D2)</f>
        <v>236553.78</v>
      </c>
      <c r="E16" s="97">
        <f>SUM('P - Stock'!D3)</f>
        <v>14765.99</v>
      </c>
      <c r="F16" s="97">
        <f>SUM('P - Stock'!D4)</f>
        <v>102748.02</v>
      </c>
      <c r="G16" s="97">
        <f>'P - Stock'!E8</f>
        <v>74297.819999999992</v>
      </c>
      <c r="H16" s="97">
        <f>'P - Stock'!F8</f>
        <v>80818.610000000015</v>
      </c>
      <c r="I16" s="97">
        <f>'P - Stock'!G8</f>
        <v>111028.22</v>
      </c>
      <c r="J16" s="97">
        <f>'P - Stock'!H8</f>
        <v>30209.609999999997</v>
      </c>
      <c r="K16" s="107">
        <f>'P - Stock'!I8</f>
        <v>0.27208947418953477</v>
      </c>
      <c r="L16" s="107">
        <f>ROUND((1 - SUM('P - Stock'!F2) / SUM('P - Stock'!G2)), 3)</f>
        <v>0.27400000000000002</v>
      </c>
      <c r="M16" s="107">
        <f>ROUND((1 - SUM('P - Stock'!F3) / SUM('P - Stock'!G3)), 3)</f>
        <v>0.35099999999999998</v>
      </c>
      <c r="N16" s="107">
        <f>ROUND((1 - SUM('P - Stock'!F4) / SUM('P - Stock'!G4)), 3)</f>
        <v>0.24399999999999999</v>
      </c>
      <c r="O16" s="118">
        <f>'P - Stock'!J8</f>
        <v>373476.35</v>
      </c>
      <c r="P16" s="97">
        <f>SUM('P - Stock'!J2)</f>
        <v>245036.22</v>
      </c>
      <c r="Q16" s="97">
        <f>SUM('P - Stock'!J3)</f>
        <v>24031.93</v>
      </c>
      <c r="R16" s="97">
        <f>SUM('P - Stock'!J4)</f>
        <v>104386.48</v>
      </c>
      <c r="S16" s="97">
        <f>'P - Stock'!K8</f>
        <v>76748.59</v>
      </c>
      <c r="T16" s="97">
        <f>'P - Stock'!L8</f>
        <v>80231.820000000007</v>
      </c>
      <c r="U16" s="97">
        <f>'P - Stock'!M8</f>
        <v>110745.47</v>
      </c>
      <c r="V16" s="97">
        <f>'P - Stock'!N8</f>
        <v>30513.65</v>
      </c>
      <c r="W16" s="107">
        <f>'P - Stock'!O8</f>
        <v>0.27552955439170557</v>
      </c>
      <c r="X16" s="107">
        <f>ROUND((1 - SUM('P - Stock'!L2) / SUM('P - Stock'!M2)), 3)</f>
        <v>0.27200000000000002</v>
      </c>
      <c r="Y16" s="107">
        <f>ROUND((1 - SUM('P - Stock'!L3) / SUM('P - Stock'!M3)), 3)</f>
        <v>0.39</v>
      </c>
      <c r="Z16" s="107">
        <f>ROUND((1 - SUM('P - Stock'!L4) / SUM('P - Stock'!M4)), 3)</f>
        <v>0.27400000000000002</v>
      </c>
      <c r="AA16" s="97">
        <f>'P - Stock'!P8</f>
        <v>1663302</v>
      </c>
      <c r="AB16" s="97">
        <f>'P - Stock'!Q8</f>
        <v>292493.43000000005</v>
      </c>
      <c r="AC16" s="97">
        <f>SUM('P - Stock'!Q2)</f>
        <v>223706.26</v>
      </c>
      <c r="AD16" s="97">
        <f>SUM('P - Stock'!Q3)</f>
        <v>68740.77</v>
      </c>
      <c r="AE16" s="97">
        <f>SUM('P - Stock'!Q4)</f>
        <v>0</v>
      </c>
      <c r="AF16" s="97">
        <f>'P - Stock'!R8</f>
        <v>65374.61</v>
      </c>
      <c r="AG16" s="97">
        <f>'P - Stock'!S8</f>
        <v>61983.92</v>
      </c>
      <c r="AH16" s="97">
        <f>'P - Stock'!T8</f>
        <v>87463.02</v>
      </c>
      <c r="AI16" s="97">
        <f>'P - Stock'!U8</f>
        <v>25479.1</v>
      </c>
      <c r="AJ16" s="107">
        <f>'P - Stock'!V8</f>
        <v>0.29131283141149256</v>
      </c>
      <c r="AK16" s="107">
        <f>ROUND((1 - SUM('P - Stock'!S2) / SUM('P - Stock'!T2)), 3)</f>
        <v>0.28799999999999998</v>
      </c>
      <c r="AL16" s="107">
        <f>ROUND((1 - SUM('P - Stock'!S3) / SUM('P - Stock'!T3)), 3)</f>
        <v>0.318</v>
      </c>
      <c r="AM16" s="132" t="e">
        <f>ROUND((1 - SUM('P - Stock'!S4) / SUM('P - Stock'!T4)), 3)</f>
        <v>#DIV/0!</v>
      </c>
      <c r="AO16" s="141"/>
      <c r="AP16" s="140"/>
    </row>
    <row r="17" spans="1:43" x14ac:dyDescent="0.25">
      <c r="A17" s="96" t="s">
        <v>26</v>
      </c>
      <c r="B17" s="98">
        <f>'P - SO'!C5</f>
        <v>22.899928060277912</v>
      </c>
      <c r="C17" s="97">
        <f>'P - SO'!D5</f>
        <v>6048.0999999999995</v>
      </c>
      <c r="D17" s="97">
        <f>SUM('P - SO'!D2)</f>
        <v>4328.4399999999996</v>
      </c>
      <c r="E17" s="97">
        <f>SUM('P - SO'!D3)</f>
        <v>392.82</v>
      </c>
      <c r="F17" s="97">
        <f>SUM('P - SO'!D4)</f>
        <v>1326.84</v>
      </c>
      <c r="G17" s="97">
        <f>'P - SO'!E5</f>
        <v>361.64000000000004</v>
      </c>
      <c r="H17" s="97">
        <f>'P - SO'!F5</f>
        <v>264.11</v>
      </c>
      <c r="I17" s="97">
        <f>'P - SO'!G5</f>
        <v>418.32</v>
      </c>
      <c r="J17" s="97">
        <f>'P - SO'!H5</f>
        <v>154.21</v>
      </c>
      <c r="K17" s="107">
        <f>'P - SO'!I5</f>
        <v>0.36864123159303874</v>
      </c>
      <c r="L17" s="107">
        <f>ROUND((1 - SUM('P - SO'!F2) / SUM('P - SO'!G2)), 3)</f>
        <v>0.36299999999999999</v>
      </c>
      <c r="M17" s="107">
        <f>ROUND((1 - SUM('P - SO'!F3) / SUM('P - SO'!G3)), 3)</f>
        <v>0.56699999999999995</v>
      </c>
      <c r="N17" s="107">
        <f>ROUND((1 - SUM('P - SO'!F4) / SUM('P - SO'!G4)), 3)</f>
        <v>0.38800000000000001</v>
      </c>
      <c r="O17" s="118">
        <f>'P - SO'!J5</f>
        <v>21.72</v>
      </c>
      <c r="P17" s="97">
        <f>SUM('P - SO'!J2)</f>
        <v>0</v>
      </c>
      <c r="Q17" s="97">
        <f>SUM('P - SO'!J3)</f>
        <v>0</v>
      </c>
      <c r="R17" s="97">
        <f>SUM('P - SO'!J4)</f>
        <v>21.72</v>
      </c>
      <c r="S17" s="97">
        <f>'P - SO'!K5</f>
        <v>0</v>
      </c>
      <c r="T17" s="97">
        <f>'P - SO'!L5</f>
        <v>0</v>
      </c>
      <c r="U17" s="97">
        <f>'P - SO'!M5</f>
        <v>0</v>
      </c>
      <c r="V17" s="97">
        <f>'P - SO'!N5</f>
        <v>0</v>
      </c>
      <c r="W17" s="107">
        <f>'P - SO'!O5</f>
        <v>0</v>
      </c>
      <c r="X17" s="107" t="e">
        <f>ROUND((1 - SUM('P - SO'!L2) / SUM('P - SO'!M2)), 3)</f>
        <v>#DIV/0!</v>
      </c>
      <c r="Y17" s="107" t="e">
        <f>ROUND((1 - SUM('P - SO'!L3) / SUM('P - SO'!M3)), 3)</f>
        <v>#DIV/0!</v>
      </c>
      <c r="Z17" s="107" t="e">
        <f>ROUND((1 - SUM('P - SO'!L4) / SUM('P - SO'!M4)), 3)</f>
        <v>#DIV/0!</v>
      </c>
      <c r="AA17" s="97">
        <f>'P - SO'!P5</f>
        <v>39448</v>
      </c>
      <c r="AB17" s="97">
        <f>'P - SO'!Q5</f>
        <v>46.4</v>
      </c>
      <c r="AC17" s="97">
        <f>SUM('P - SO'!Q2)</f>
        <v>0</v>
      </c>
      <c r="AD17" s="97">
        <f>SUM('P - SO'!Q3)</f>
        <v>46.4</v>
      </c>
      <c r="AE17" s="97">
        <f>SUM('P - SO'!Q4)</f>
        <v>0</v>
      </c>
      <c r="AF17" s="97">
        <f>'P - SO'!R5</f>
        <v>0</v>
      </c>
      <c r="AG17" s="97">
        <f>'P - SO'!S5</f>
        <v>0</v>
      </c>
      <c r="AH17" s="97">
        <f>'P - SO'!T5</f>
        <v>0</v>
      </c>
      <c r="AI17" s="97">
        <f>'P - SO'!U5</f>
        <v>0</v>
      </c>
      <c r="AJ17" s="107">
        <f>'P - SO'!V5</f>
        <v>0</v>
      </c>
      <c r="AK17" s="107" t="e">
        <f>ROUND((1 - SUM('P - SO'!R2) / SUM('P - SO'!T2)), 3)</f>
        <v>#DIV/0!</v>
      </c>
      <c r="AL17" s="107" t="e">
        <f>ROUND((1 - SUM('P - SO'!S3) / SUM('P - SO'!T3)), 3)</f>
        <v>#DIV/0!</v>
      </c>
      <c r="AM17" s="132" t="e">
        <f>ROUND((1 - SUM('P - SO'!S4) / SUM('P - SO'!T4)), 3)</f>
        <v>#DIV/0!</v>
      </c>
      <c r="AO17" s="141"/>
      <c r="AP17" s="140"/>
    </row>
    <row r="18" spans="1:43" x14ac:dyDescent="0.25">
      <c r="A18" s="59" t="s">
        <v>27</v>
      </c>
      <c r="B18" s="61">
        <f>'OL - All'!C23</f>
        <v>10.588819243105791</v>
      </c>
      <c r="C18" s="60">
        <f>'OL - All'!D23</f>
        <v>175891.30000000002</v>
      </c>
      <c r="D18" s="60">
        <f>SUM('OL - All'!D2,'OL - All'!D5,'OL - All'!D8,'OL - All'!D11,'OL - All'!D14,'OL - All'!D20)</f>
        <v>144359.04000000001</v>
      </c>
      <c r="E18" s="60">
        <f>SUM('OL - All'!D3,'OL - All'!D6,'OL - All'!D9,'OL - All'!D12,'OL - All'!D15,'OL - All'!D21)</f>
        <v>29722.05</v>
      </c>
      <c r="F18" s="60">
        <f>SUM('OL - All'!D4,'OL - All'!D7,'OL - All'!D10,'OL - All'!D13,'OL - All'!D16,'OL - All'!D22)</f>
        <v>39.880000000000003</v>
      </c>
      <c r="G18" s="60">
        <f>'OL - All'!E23</f>
        <v>24776.07</v>
      </c>
      <c r="H18" s="60">
        <f>'OL - All'!F23</f>
        <v>16611.04</v>
      </c>
      <c r="I18" s="60">
        <f>'OL - All'!G23</f>
        <v>25313.54</v>
      </c>
      <c r="J18" s="60">
        <f>'OL - All'!H23</f>
        <v>8702.5</v>
      </c>
      <c r="K18" s="108">
        <f>'OL - All'!I23</f>
        <v>0.34399999999999997</v>
      </c>
      <c r="L18" s="108">
        <f>ROUND((1 - SUM('OL - All'!F2,'OL - All'!F5,'OL - All'!F8,'OL - All'!F11,'OL - All'!F14,'OL - All'!F20) / SUM('OL - All'!G2,'OL - All'!G5,'OL - All'!G8,'OL - All'!G11,'OL - All'!G14,'OL - All'!G20)), 3)</f>
        <v>0.34499999999999997</v>
      </c>
      <c r="M18" s="108">
        <f>ROUND((1 - SUM('OL - All'!F3,'OL - All'!F6,'OL - All'!F9,'OL - All'!F12,'OL - All'!F15,'OL - All'!F21) / SUM('OL - All'!G3,'OL - All'!G6,'OL - All'!G9,'OL - All'!G12,'OL - All'!G15,'OL - All'!G21)), 3)</f>
        <v>0.33600000000000002</v>
      </c>
      <c r="N18" s="108" t="e">
        <f>ROUND((1 - SUM('OL - All'!F4,'OL - All'!F7,'OL - All'!F10,'OL - All'!F13,'OL - All'!F16,'OL - All'!F22) / SUM('OL - All'!G4,'OL - All'!G7,'OL - All'!G10,'OL - All'!G13,'OL - All'!G16,'OL - All'!G22)), 3)</f>
        <v>#DIV/0!</v>
      </c>
      <c r="O18" s="119">
        <f>'OL - All'!J23</f>
        <v>335008.69000000006</v>
      </c>
      <c r="P18" s="60">
        <f>SUM('OL - All'!J2,'OL - All'!J5,'OL - All'!J8,'OL - All'!J11,'OL - All'!J14,'OL - All'!J20)</f>
        <v>261164.6</v>
      </c>
      <c r="Q18" s="60">
        <f>SUM('OL - All'!J3,'OL - All'!J6,'OL - All'!J9,'OL - All'!J12,'OL - All'!J15,'OL - All'!J21)</f>
        <v>41875.440000000002</v>
      </c>
      <c r="R18" s="60">
        <f>SUM('OL - All'!J4,'OL - All'!J7,'OL - All'!J10,'OL - All'!J13,'OL - All'!J16,'OL - All'!J22)</f>
        <v>9780.56</v>
      </c>
      <c r="S18" s="60">
        <f>'OL - All'!K23</f>
        <v>17905.77</v>
      </c>
      <c r="T18" s="60">
        <f>'OL - All'!L23</f>
        <v>6577.8</v>
      </c>
      <c r="U18" s="60">
        <f>'OL - All'!M23</f>
        <v>10822.62</v>
      </c>
      <c r="V18" s="60">
        <f>'OL - All'!N23</f>
        <v>4244.82</v>
      </c>
      <c r="W18" s="108">
        <f>'OL - All'!O23</f>
        <v>0.39200000000000002</v>
      </c>
      <c r="X18" s="108">
        <f>ROUND((1 - SUM('OL - All'!L2,'OL - All'!L5,'OL - All'!L8,'OL - All'!L11,'OL - All'!L14,'OL - All'!L20) / SUM('OL - All'!M2,'OL - All'!M5,'OL - All'!M8,'OL - All'!M11,'OL - All'!M14,'OL - All'!M20)), 3)</f>
        <v>0.437</v>
      </c>
      <c r="Y18" s="108">
        <f>ROUND((1 - SUM('OL - All'!L3,'OL - All'!L6,'OL - All'!L9,'OL - All'!L12,'OL - All'!L15,'OL - All'!L21) / SUM('OL - All'!M3,'OL - All'!M6,'OL - All'!M9,'OL - All'!M12,'OL - All'!M15,'OL - All'!M21)), 3)</f>
        <v>4.7E-2</v>
      </c>
      <c r="Z18" s="108">
        <f>ROUND((1 - SUM('OL - All'!L4,'OL - All'!L7,'OL - All'!L10,'OL - All'!L13,'OL - All'!L16,'OL - All'!L22) / SUM('OL - All'!M4,'OL - All'!M7,'OL - All'!M10,'OL - All'!M13,'OL - All'!M16,'OL - All'!M22)), 3)</f>
        <v>0.35699999999999998</v>
      </c>
      <c r="AA18" s="60">
        <f>'OL - All'!P23</f>
        <v>561451</v>
      </c>
      <c r="AB18" s="60">
        <f>'OL - All'!Q23</f>
        <v>408856.46</v>
      </c>
      <c r="AC18" s="60">
        <f>SUM('OL - All'!Q2,'OL - All'!Q5,'OL - All'!Q8,'OL - All'!Q11,'OL - All'!Q14,'OL - All'!Q20)</f>
        <v>390752.91000000003</v>
      </c>
      <c r="AD18" s="60">
        <f>SUM('OL - All'!Q3,'OL - All'!Q6,'OL - All'!Q9,'OL - All'!Q12,'OL - All'!Q15,'OL - All'!Q21)</f>
        <v>17352.78</v>
      </c>
      <c r="AE18" s="60">
        <f>SUM('OL - All'!Q4,'OL - All'!Q7,'OL - All'!Q10,'OL - All'!Q13,'OL - All'!Q16,'OL - All'!Q22)</f>
        <v>0</v>
      </c>
      <c r="AF18" s="60">
        <f>'OL - All'!R23</f>
        <v>40340.659999999996</v>
      </c>
      <c r="AG18" s="60">
        <f>'OL - All'!S23</f>
        <v>14110.689999999999</v>
      </c>
      <c r="AH18" s="60">
        <f>'OL - All'!T23</f>
        <v>20464.37</v>
      </c>
      <c r="AI18" s="60">
        <f>'OL - All'!U23</f>
        <v>6353.6799999999994</v>
      </c>
      <c r="AJ18" s="108">
        <f>'OL - All'!V23</f>
        <v>0.31</v>
      </c>
      <c r="AK18" s="108">
        <f>ROUND((1 - SUM('OL - All'!S2,'OL - All'!S5,'OL - All'!S8,'OL - All'!S11,'OL - All'!S14,'OL - All'!S20) / SUM('OL - All'!T2,'OL - All'!T5,'OL - All'!T8,'OL - All'!T11,'OL - All'!T14,'OL - All'!T20)), 3)</f>
        <v>0.34300000000000003</v>
      </c>
      <c r="AL18" s="108">
        <f>ROUND((1 - SUM('OL - All'!S3,'OL - All'!S6,'OL - All'!S9,'OL - All'!S12,'OL - All'!S15,'OL - All'!S21) / SUM('OL - All'!T3,'OL - All'!T6,'OL - All'!T9,'OL - All'!T12,'OL - All'!T15,'OL - All'!T21)), 3)</f>
        <v>0.40600000000000003</v>
      </c>
      <c r="AM18" s="133" t="e">
        <f>ROUND((1 - SUM('OL - All'!S4,'OL - All'!S7,'OL - All'!S10,'OL - All'!S13,'OL - All'!S16,'OL - All'!S22) / SUM('OL - All'!T4,'OL - All'!T7,'OL - All'!T10,'OL - All'!T13,'OL - All'!T16,'OL - All'!T22)), 3)</f>
        <v>#DIV/0!</v>
      </c>
      <c r="AN18" s="141">
        <f>$C$18</f>
        <v>175891.30000000002</v>
      </c>
      <c r="AO18" s="141">
        <v>200000</v>
      </c>
      <c r="AP18" s="144">
        <f>SUM(AN18-AO18-22000)</f>
        <v>-46108.699999999983</v>
      </c>
      <c r="AQ18" t="s">
        <v>111</v>
      </c>
    </row>
    <row r="19" spans="1:43" x14ac:dyDescent="0.25">
      <c r="A19" s="101" t="s">
        <v>28</v>
      </c>
      <c r="B19" s="100">
        <f>'OL - Stock'!C20</f>
        <v>10.482243736695596</v>
      </c>
      <c r="C19" s="99">
        <f>'OL - Stock'!D20</f>
        <v>174120.97000000003</v>
      </c>
      <c r="D19" s="99">
        <f>SUM('OL - Stock'!D2,'OL - Stock'!D5,'OL - Stock'!D8,'OL - Stock'!D11,'OL - Stock'!D17)</f>
        <v>144359.04000000001</v>
      </c>
      <c r="E19" s="99">
        <f>SUM('OL - Stock'!D3,'OL - Stock'!D6,'OL - Stock'!D9,'OL - Stock'!D12,'OL - Stock'!D18)</f>
        <v>29722.05</v>
      </c>
      <c r="F19" s="99">
        <f>SUM('OL - Stock'!D4,'OL - Stock'!D7,'OL - Stock'!D10,'OL - Stock'!D13,'OL - Stock'!D19)</f>
        <v>39.880000000000003</v>
      </c>
      <c r="G19" s="99">
        <f>'OL - Stock'!E20</f>
        <v>24776.07</v>
      </c>
      <c r="H19" s="99">
        <f>'OL - Stock'!F20</f>
        <v>16611.04</v>
      </c>
      <c r="I19" s="99">
        <f>'OL - Stock'!G20</f>
        <v>25313.54</v>
      </c>
      <c r="J19" s="99">
        <f>'OL - Stock'!H20</f>
        <v>8702.5</v>
      </c>
      <c r="K19" s="109">
        <f>'OL - Stock'!I20</f>
        <v>0.34378834410359038</v>
      </c>
      <c r="L19" s="109">
        <f>ROUND((1 - SUM('OL - Stock'!F2,'OL - Stock'!F5,'OL - Stock'!F8,'OL - Stock'!F11,'OL - Stock'!F17) / SUM('OL - Stock'!G2,'OL - Stock'!G5,'OL - Stock'!G8,'OL - Stock'!G11,'OL - Stock'!G17)), 3)</f>
        <v>0.34499999999999997</v>
      </c>
      <c r="M19" s="109">
        <f>ROUND((1 - SUM('OL - Stock'!F3,'OL - Stock'!F6,'OL - Stock'!F9,'OL - Stock'!F12,'OL - Stock'!F18) / SUM('OL - Stock'!G3,'OL - Stock'!G6,'OL - Stock'!G9,'OL - Stock'!G12,'OL - Stock'!G18)), 3)</f>
        <v>0.33600000000000002</v>
      </c>
      <c r="N19" s="109" t="e">
        <f>ROUND((1 - SUM('OL - Stock'!F4,'OL - Stock'!F7,'OL - Stock'!F10,'OL - Stock'!F13,'OL - Stock'!F19) / SUM('OL - Stock'!G4,'OL - Stock'!G7,'OL - Stock'!G10,'OL - Stock'!G13,'OL - Stock'!G19)), 3)</f>
        <v>#DIV/0!</v>
      </c>
      <c r="O19" s="120">
        <f>'OL - Stock'!J20</f>
        <v>312820.60000000003</v>
      </c>
      <c r="P19" s="99">
        <f>SUM('OL - Stock'!J2,'OL - Stock'!J5,'OL - Stock'!J8,'OL - Stock'!J11,'OL - Stock'!J17)</f>
        <v>261164.6</v>
      </c>
      <c r="Q19" s="99">
        <f>SUM('OL - Stock'!J3,'OL - Stock'!J6,'OL - Stock'!J9,'OL - Stock'!J12,'OL - Stock'!J18)</f>
        <v>41875.440000000002</v>
      </c>
      <c r="R19" s="99">
        <f>SUM('OL - Stock'!J4,'OL - Stock'!J7,'OL - Stock'!J10,'OL - Stock'!J13,'OL - Stock'!J19)</f>
        <v>9780.56</v>
      </c>
      <c r="S19" s="99">
        <f>'OL - Stock'!K20</f>
        <v>17905.77</v>
      </c>
      <c r="T19" s="99">
        <f>'OL - Stock'!L20</f>
        <v>6577.8</v>
      </c>
      <c r="U19" s="99">
        <f>'OL - Stock'!M20</f>
        <v>10822.62</v>
      </c>
      <c r="V19" s="99">
        <f>'OL - Stock'!N20</f>
        <v>4244.82</v>
      </c>
      <c r="W19" s="109">
        <f>'OL - Stock'!O20</f>
        <v>0.39221741131075472</v>
      </c>
      <c r="X19" s="109">
        <f>ROUND((1 - SUM('OL - Stock'!L2,'OL - Stock'!L5,'OL - Stock'!L8,'OL - Stock'!L11,'OL - Stock'!L17) / SUM('OL - Stock'!M2,'OL - Stock'!M5,'OL - Stock'!M8,'OL - Stock'!M11,'OL - Stock'!M17)), 3)</f>
        <v>0.437</v>
      </c>
      <c r="Y19" s="109">
        <f>ROUND((1 - SUM('OL - Stock'!L3,'OL - Stock'!L6,'OL - Stock'!L9,'OL - Stock'!L12,'OL - Stock'!L18) / SUM('OL - Stock'!M3,'OL - Stock'!M6,'OL - Stock'!M9,'OL - Stock'!M12,'OL - Stock'!M18)), 3)</f>
        <v>4.7E-2</v>
      </c>
      <c r="Z19" s="109">
        <f>ROUND((1 - SUM('OL - Stock'!L4,'OL - Stock'!L7,'OL - Stock'!L10,'OL - Stock'!L13,'OL - Stock'!L19) / SUM('OL - Stock'!M4,'OL - Stock'!M7,'OL - Stock'!M10,'OL - Stock'!M13,'OL - Stock'!M19)), 3)</f>
        <v>0.35699999999999998</v>
      </c>
      <c r="AA19" s="99">
        <f>'OL - Stock'!P20</f>
        <v>541110</v>
      </c>
      <c r="AB19" s="99">
        <f>'OL - Stock'!Q20</f>
        <v>408105.69</v>
      </c>
      <c r="AC19" s="99">
        <f>SUM('OL - Stock'!Q2,'OL - Stock'!Q5,'OL - Stock'!Q8,'OL - Stock'!Q11,'OL - Stock'!Q17)</f>
        <v>390752.91000000003</v>
      </c>
      <c r="AD19" s="99">
        <f>SUM('OL - Stock'!Q3,'OL - Stock'!Q6,'OL - Stock'!Q9,'OL - Stock'!Q12,'OL - Stock'!Q18)</f>
        <v>17352.78</v>
      </c>
      <c r="AE19" s="99">
        <f>SUM('OL - Stock'!Q4,'OL - Stock'!Q7,'OL - Stock'!Q10,'OL - Stock'!Q13,'OL - Stock'!Q19)</f>
        <v>0</v>
      </c>
      <c r="AF19" s="99">
        <f>'OL - Stock'!R20</f>
        <v>35170.81</v>
      </c>
      <c r="AG19" s="99">
        <f>'OL - Stock'!S20</f>
        <v>10066.609999999999</v>
      </c>
      <c r="AH19" s="99">
        <f>'OL - Stock'!T20</f>
        <v>15378.57</v>
      </c>
      <c r="AI19" s="99">
        <f>'OL - Stock'!U20</f>
        <v>5311.9599999999991</v>
      </c>
      <c r="AJ19" s="109">
        <f>'OL - Stock'!V20</f>
        <v>0.34541313008946872</v>
      </c>
      <c r="AK19" s="109">
        <f>ROUND((1 - SUM('OL - Stock'!S2,'OL - Stock'!S5,'OL - Stock'!S8,'OL - Stock'!S11,'OL - Stock'!S17) / SUM('OL - Stock'!T2,'OL - Stock'!T5,'OL - Stock'!T8,'OL - Stock'!T11,'OL - Stock'!T17)), 3)</f>
        <v>0.34300000000000003</v>
      </c>
      <c r="AL19" s="109">
        <f>ROUND((1 - SUM('OL - Stock'!S3,'OL - Stock'!S6,'OL - Stock'!S9,'OL - Stock'!S12,'OL - Stock'!S18) / SUM('OL - Stock'!T3,'OL - Stock'!T6,'OL - Stock'!T9,'OL - Stock'!T12,'OL - Stock'!T18)), 3)</f>
        <v>0.40600000000000003</v>
      </c>
      <c r="AM19" s="134" t="e">
        <f>ROUND((1 - SUM('OL - Stock'!S4,'OL - Stock'!S7,'OL - Stock'!S10,'OL - Stock'!S13,'OL - Stock'!S19) / SUM('OL - Stock'!T4,'OL - Stock'!T7,'OL - Stock'!T10,'OL - Stock'!T13,'OL - Stock'!T19)), 3)</f>
        <v>#DIV/0!</v>
      </c>
      <c r="AO19" s="141"/>
      <c r="AP19" s="140"/>
    </row>
    <row r="20" spans="1:43" ht="15.75" thickBot="1" x14ac:dyDescent="0.3">
      <c r="A20" s="59" t="s">
        <v>29</v>
      </c>
      <c r="B20" s="61" t="e">
        <f>'OL - SO'!C5</f>
        <v>#DIV/0!</v>
      </c>
      <c r="C20" s="60">
        <f>'OL - SO'!D5</f>
        <v>1770.33</v>
      </c>
      <c r="D20" s="60">
        <f>SUM('OL - SO'!D2)</f>
        <v>1770.33</v>
      </c>
      <c r="E20" s="60">
        <f>SUM('OL - SO'!D3)</f>
        <v>0</v>
      </c>
      <c r="F20" s="60">
        <f>SUM('OL - SO'!D4)</f>
        <v>0</v>
      </c>
      <c r="G20" s="60">
        <f>'OL - SO'!E5</f>
        <v>0</v>
      </c>
      <c r="H20" s="60">
        <f>'OL - SO'!F5</f>
        <v>0</v>
      </c>
      <c r="I20" s="60">
        <f>'OL - SO'!G5</f>
        <v>0</v>
      </c>
      <c r="J20" s="60">
        <f>'OL - SO'!H5</f>
        <v>0</v>
      </c>
      <c r="K20" s="108">
        <f>'OL - SO'!I5</f>
        <v>0</v>
      </c>
      <c r="L20" s="108" t="e">
        <f>ROUND((1 - SUM('OL - SO'!F2) / SUM('OL - SO'!G2)), 3)</f>
        <v>#DIV/0!</v>
      </c>
      <c r="M20" s="108" t="e">
        <f>ROUND((1 - SUM('OL - SO'!F3) / SUM('OL - SO'!G3)), 3)</f>
        <v>#DIV/0!</v>
      </c>
      <c r="N20" s="108" t="e">
        <f>ROUND((1 - SUM('OL - SO'!F4) / SUM('OL - SO'!G4)), 3)</f>
        <v>#DIV/0!</v>
      </c>
      <c r="O20" s="119">
        <f>'OL - SO'!J5</f>
        <v>22188.09</v>
      </c>
      <c r="P20" s="60">
        <f>SUM('OL - SO'!J2)</f>
        <v>22188.09</v>
      </c>
      <c r="Q20" s="60">
        <f>SUM('OL - SO'!J3)</f>
        <v>0</v>
      </c>
      <c r="R20" s="60">
        <f>SUM('OL - SO'!J4)</f>
        <v>0</v>
      </c>
      <c r="S20" s="60">
        <f>'OL - SO'!K5</f>
        <v>0</v>
      </c>
      <c r="T20" s="60">
        <f>'OL - SO'!L5</f>
        <v>0</v>
      </c>
      <c r="U20" s="60">
        <f>'OL - SO'!M5</f>
        <v>0</v>
      </c>
      <c r="V20" s="60">
        <f>'OL - SO'!N5</f>
        <v>0</v>
      </c>
      <c r="W20" s="108">
        <f>'OL - SO'!O5</f>
        <v>0</v>
      </c>
      <c r="X20" s="108" t="e">
        <f>ROUND((1 - SUM('OL - SO'!L2) / SUM('OL - SO'!M2)), 3)</f>
        <v>#DIV/0!</v>
      </c>
      <c r="Y20" s="108" t="e">
        <f>ROUND((1 - SUM('OL - SO'!L3) / SUM('OL - SO'!M3)), 3)</f>
        <v>#DIV/0!</v>
      </c>
      <c r="Z20" s="108" t="e">
        <f>ROUND((1 - SUM('OL - SO'!L4) / SUM('OL - SO'!M4)), 3)</f>
        <v>#DIV/0!</v>
      </c>
      <c r="AA20" s="60">
        <f>'OL - SO'!P5</f>
        <v>20341</v>
      </c>
      <c r="AB20" s="60">
        <f>'OL - SO'!Q5</f>
        <v>750.77</v>
      </c>
      <c r="AC20" s="60">
        <f>SUM('OL - SO'!Q2)</f>
        <v>750.77</v>
      </c>
      <c r="AD20" s="60">
        <f>SUM('OL - SO'!Q3)</f>
        <v>0</v>
      </c>
      <c r="AE20" s="60">
        <f>SUM('OL - SO'!Q4)</f>
        <v>0</v>
      </c>
      <c r="AF20" s="60">
        <f>'OL - SO'!R5</f>
        <v>5169.8500000000004</v>
      </c>
      <c r="AG20" s="60">
        <f>'OL - SO'!S5</f>
        <v>4044.08</v>
      </c>
      <c r="AH20" s="60">
        <f>'OL - SO'!T5</f>
        <v>5085.8</v>
      </c>
      <c r="AI20" s="60">
        <f>'OL - SO'!U5</f>
        <v>1041.72</v>
      </c>
      <c r="AJ20" s="108">
        <f>'OL - SO'!V5</f>
        <v>0.20482913209327935</v>
      </c>
      <c r="AK20" s="108">
        <f>ROUND((1 - SUM('OL - SO'!S2) / SUM('OL - SO'!T2)), 3)</f>
        <v>0.20499999999999999</v>
      </c>
      <c r="AL20" s="108" t="e">
        <f>ROUND((1 - SUM('OL - SO'!S3) / SUM('OL - SO'!T3)), 3)</f>
        <v>#DIV/0!</v>
      </c>
      <c r="AM20" s="133" t="e">
        <f>ROUND((1 - SUM('OL - SO'!S4) / SUM('OL - SO'!T4)), 3)</f>
        <v>#DIV/0!</v>
      </c>
      <c r="AO20" s="141"/>
      <c r="AP20" s="140"/>
    </row>
    <row r="21" spans="1:43" ht="15.75" thickBot="1" x14ac:dyDescent="0.3">
      <c r="A21" s="12" t="s">
        <v>30</v>
      </c>
      <c r="B21" s="62">
        <f>IF(C21=0,0,C21/(H21/1))</f>
        <v>3.4409635104911938</v>
      </c>
      <c r="C21" s="13">
        <f>SUM(C3,C6,C9,C12,C15,C18)</f>
        <v>2637221.4300000002</v>
      </c>
      <c r="D21" s="13">
        <f>SUM(D3,D6,D9,D12,D15,D18)</f>
        <v>1169172.96</v>
      </c>
      <c r="E21" s="13">
        <f t="shared" ref="E21:AI21" si="0">SUM(E3,E6,E9,E12,E15,E18)</f>
        <v>1359288.3699999999</v>
      </c>
      <c r="F21" s="13">
        <f t="shared" si="0"/>
        <v>105643.85</v>
      </c>
      <c r="G21" s="13">
        <f t="shared" si="0"/>
        <v>920654.12</v>
      </c>
      <c r="H21" s="13">
        <f t="shared" si="0"/>
        <v>766419.47</v>
      </c>
      <c r="I21" s="13">
        <f t="shared" si="0"/>
        <v>1091270.78</v>
      </c>
      <c r="J21" s="13">
        <f t="shared" si="0"/>
        <v>324851.31000000006</v>
      </c>
      <c r="K21" s="110">
        <f>1-(H21/I21)</f>
        <v>0.2976816716379046</v>
      </c>
      <c r="L21" s="110">
        <f>ROUND((1 - SUM('BM -ALL- Stock'!F2,'BM -ALL- Stock'!F5,'BM -ALL- Stock'!F8,'BM -ALL- Stock'!F11,'BM -ALL- Stock'!F14,'BM -ALL- Stock'!F17,'BM -ALL- Stock'!F20,'BM -ALL- Stock'!F23,'BM -ALL- Stock'!F26,'BM -ALL- Stock'!F29,'L - All'!F2,'L - All'!F5,'L - All'!F8,'L - All'!F11,'L - All'!F14,'L - All'!F17,'L - All'!F20,'L - All'!F23,'L - All'!F26,'L - All'!F29,'M - All'!F2,'M - All'!F5,'M - All'!F8,'M - All'!F11,'M - All'!F14,'M - All'!F17,'M - All'!F20,'M - All'!F23,'M - All'!F26,'HW - All'!F2,'HW - All'!F5,'HW - All'!F8,'HW - All'!F11,'HW - All'!F14,'HW - All'!F17,'HW - All'!F20,'HW - All'!F23,'HW - All'!F26,'HW - All'!F29,'HW - All'!F32,'HW - All'!F35,'HW - All'!F38,'HW - All'!F41,'HW - All'!F44,'HW - All'!F47,'P - All'!F2,'P - All'!F8,'OL - All'!F2,'OL - All'!F5,'OL - All'!F8,'OL - All'!F11,'OL - All'!F14,'OL - All'!F20 )/SUM('BM -ALL- Stock'!G2,'BM -ALL- Stock'!G5,'BM -ALL- Stock'!G8,'BM -ALL- Stock'!G11,'BM -ALL- Stock'!G14,'BM -ALL- Stock'!G17,'BM -ALL- Stock'!G20,'BM -ALL- Stock'!G23,'BM -ALL- Stock'!G26,'BM -ALL- Stock'!G29,'L - All'!G2,'L - All'!G5,'L - All'!G8,'L - All'!G11,'L - All'!G14,'L - All'!G17,'L - All'!G20,'L - All'!G23,'L - All'!G26,'L - All'!G29,'M - All'!G2,'M - All'!G5,'M - All'!G8,'M - All'!G11,'M - All'!G14,'M - All'!G17,'M - All'!G20,'M - All'!G23,'M - All'!G26,'HW - All'!G2,'HW - All'!G5,'HW - All'!G8,'HW - All'!G11,'HW - All'!G14,'HW - All'!G17,'HW - All'!G20,'HW - All'!G23,'HW - All'!G26,'HW - All'!G29,'HW - All'!G32,'HW - All'!G35,'HW - All'!G38,'HW - All'!G41,'HW - All'!G44,'HW - All'!G47,'P - All'!G2,'P - All'!G8,'OL - All'!G2,'OL - All'!G5,'OL - All'!G8,'OL - All'!G11,'OL - All'!G14,'OL - All'!G20 )), 3)</f>
        <v>0.32800000000000001</v>
      </c>
      <c r="M21" s="110">
        <f>ROUND((1 - SUM('BM -ALL- Stock'!F3,'BM -ALL- Stock'!F6,'BM -ALL- Stock'!F9,'BM -ALL- Stock'!F12,'BM -ALL- Stock'!F15,'BM -ALL- Stock'!F18,'BM -ALL- Stock'!F21,'BM -ALL- Stock'!F24,'BM -ALL- Stock'!F27,'BM -ALL- Stock'!F30,'L - All'!F3,'L - All'!F6,'L - All'!F9,'L - All'!F12,'L - All'!F15,'L - All'!F18,'L - All'!F21,'L - All'!F24,'L - All'!F27,'L - All'!F30,'M - All'!F3,'M - All'!F6,'M - All'!F9,'M - All'!F12,'M - All'!F15,'M - All'!F18,'M - All'!F21,'M - All'!F24,'M - All'!F27,'HW - All'!F3,'HW - All'!F6,'HW - All'!F9,'HW - All'!F12,'HW - All'!F15,'HW - All'!F18,'HW - All'!F21,'HW - All'!F24,'HW - All'!F27,'HW - All'!F30,'HW - All'!F33,'HW - All'!F36,'HW - All'!F39,'HW - All'!F42,'HW - All'!F45,'HW - All'!F48,'P - All'!F3,'P - All'!F9,'OL - All'!F3,'OL - All'!F6,'OL - All'!F9,'OL - All'!F12,'OL - All'!F15,'OL - All'!F21) / SUM('BM -ALL- Stock'!G3,'BM -ALL- Stock'!G6,'BM -ALL- Stock'!G9,'BM -ALL- Stock'!G12,'BM -ALL- Stock'!G15,'BM -ALL- Stock'!G18,'BM -ALL- Stock'!G21,'BM -ALL- Stock'!G24,'BM -ALL- Stock'!G27,'BM -ALL- Stock'!G30,'L - All'!G3,'L - All'!G6,'L - All'!G9,'L - All'!G12,'L - All'!G15,'L - All'!G18,'L - All'!G21,'L - All'!G24,'L - All'!G27,'L - All'!G30,'M - All'!G3,'M - All'!G6,'M - All'!G9,'M - All'!G12,'M - All'!G15,'M - All'!G18,'M - All'!G21,'M - All'!G24,'M - All'!G27,'HW - All'!G3,'HW - All'!G6,'HW - All'!G9,'HW - All'!G12,'HW - All'!G15,'HW - All'!G18,'HW - All'!G21,'HW - All'!G24,'HW - All'!G27,'HW - All'!G30,'HW - All'!G33,'HW - All'!G36,'HW - All'!G39,'HW - All'!G42,'HW - All'!G45,'HW - All'!G48,'P - All'!G3,'P - All'!G9,'OL - All'!G3,'OL - All'!G6,'OL - All'!G9,'OL - All'!G12,'OL - All'!G15,'OL - All'!G21)), 3)</f>
        <v>0.26200000000000001</v>
      </c>
      <c r="N21" s="110">
        <f>ROUND((1 - SUM('BM -ALL- Stock'!F4,'BM -ALL- Stock'!F7,'BM -ALL- Stock'!F10,'BM -ALL- Stock'!F13,'BM -ALL- Stock'!F16,'BM -ALL- Stock'!F19,'BM -ALL- Stock'!F22,'BM -ALL- Stock'!F25,'BM -ALL- Stock'!F28,'BM -ALL- Stock'!F31,'L - All'!F4,'L - All'!F7,'L - All'!F10,'L - All'!F13,'L - All'!F16,'L - All'!F19,'L - All'!F22,'L - All'!F25,'L - All'!F28,'L - All'!F31,'M - All'!F4,'M - All'!F7,'M - All'!F10,'M - All'!F13,'M - All'!F16,'M - All'!F19,'M - All'!F22,'M - All'!F25,'M - All'!F28,'HW - All'!F4,'HW - All'!F7,'HW - All'!F10,'HW - All'!F13,'HW - All'!F16,'HW - All'!F19,'HW - All'!F22,'HW - All'!F25,'HW - All'!F28,'HW - All'!F31,'HW - All'!F34,'HW - All'!F37,'HW - All'!F40,'HW - All'!F43,'HW - All'!F46,'HW - All'!F49,'P - All'!F4,'P - All'!F10,'OL - All'!F4,'OL - All'!F7,'OL - All'!F10,'OL - All'!F13,'OL - All'!F16,'OL - All'!F22) / SUM('BM -ALL- Stock'!G4,'BM -ALL- Stock'!G7,'BM -ALL- Stock'!G10,'BM -ALL- Stock'!G13,'BM -ALL- Stock'!G16,'BM -ALL- Stock'!G19,'BM -ALL- Stock'!G22,'BM -ALL- Stock'!G25,'BM -ALL- Stock'!G28,'BM -ALL- Stock'!G31,'L - All'!G4,'L - All'!G7,'L - All'!G10,'L - All'!G13,'L - All'!G16,'L - All'!G19,'L - All'!G22,'L - All'!G25,'L - All'!G28,'L - All'!G31,'M - All'!G4,'M - All'!G7,'M - All'!G10,'M - All'!G13,'M - All'!G16,'M - All'!G19,'M - All'!G22,'M - All'!G25,'M - All'!G28,'HW - All'!G4,'HW - All'!G7,'HW - All'!G10,'HW - All'!G13,'HW - All'!G16,'HW - All'!G19,'HW - All'!G22,'HW - All'!G25,'HW - All'!G28,'HW - All'!G31,'HW - All'!G34,'HW - All'!G37,'HW - All'!G40,'HW - All'!G43,'HW - All'!G46,'HW - All'!G49,'P - All'!G4,'P - All'!G10,'OL - All'!G4,'OL - All'!G7,'OL - All'!G10,'OL - All'!G13,'OL - All'!G16,'OL - All'!G22)), 3)</f>
        <v>0.24399999999999999</v>
      </c>
      <c r="O21" s="121">
        <f>SUM(O3,O6,O9,O12,O15,O18)</f>
        <v>2720120.1500000004</v>
      </c>
      <c r="P21" s="13">
        <f t="shared" si="0"/>
        <v>1253032.82</v>
      </c>
      <c r="Q21" s="13">
        <f t="shared" si="0"/>
        <v>1323550.3599999999</v>
      </c>
      <c r="R21" s="13">
        <f t="shared" si="0"/>
        <v>120370.51999999999</v>
      </c>
      <c r="S21" s="13">
        <f t="shared" si="0"/>
        <v>715292.6100000001</v>
      </c>
      <c r="T21" s="13">
        <f t="shared" si="0"/>
        <v>688597.14999999991</v>
      </c>
      <c r="U21" s="13">
        <f t="shared" si="0"/>
        <v>1027948.9</v>
      </c>
      <c r="V21" s="13">
        <f t="shared" si="0"/>
        <v>339351.75000000006</v>
      </c>
      <c r="W21" s="110">
        <f>1-(T21/U21)</f>
        <v>0.33012511614147366</v>
      </c>
      <c r="X21" s="110">
        <f>ROUND((1 - SUM('BM -ALL- Stock'!L2,'BM -ALL- Stock'!L5,'BM -ALL- Stock'!L8,'BM -ALL- Stock'!L11,'BM -ALL- Stock'!L14,'BM -ALL- Stock'!L17,'BM -ALL- Stock'!L20,'BM -ALL- Stock'!L23,'BM -ALL- Stock'!L26,'BM -ALL- Stock'!L29,'L - All'!L2,'L - All'!L5,'L - All'!L8,'L - All'!L11,'L - All'!L14,'L - All'!L17,'L - All'!L20,'L - All'!L23,'L - All'!L26,'L - All'!L29, 'M - All'!L2,'M - All'!L5,'M - All'!L8,'M - All'!L11,'M - All'!L14,'M - All'!L17,'M - All'!L20,'M - All'!L23,'M - All'!L26,'HW - All'!L2,'HW - All'!L5,'HW - All'!L8,'HW - All'!L11,'HW - All'!L14,'HW - All'!L17,'HW - All'!L20,'HW - All'!L23,'HW - All'!L26,'HW - All'!L29,'HW - All'!L32,'HW - All'!L35,'HW - All'!L38,'HW - All'!L41,'HW - All'!L44,'HW - All'!L47,'P - All'!L2,'P - All'!L8,'OL - All'!L2,'OL - All'!L5,'OL - All'!L8,'OL - All'!L11,'OL - All'!L14,'OL - All'!L20) / SUM('BM -ALL- Stock'!M2,'BM -ALL- Stock'!M5,'BM -ALL- Stock'!M8,'BM -ALL- Stock'!M11,'BM -ALL- Stock'!M14,'BM -ALL- Stock'!M17,'BM -ALL- Stock'!M20,'BM -ALL- Stock'!M23,'BM -ALL- Stock'!M26,'BM -ALL- Stock'!M29,'L - All'!M2,'L - All'!M5,'L - All'!M8,'L - All'!M11,'L - All'!M14,'L - All'!M17,'L - All'!M20,'L - All'!M23,'L - All'!M26,'L - All'!M29,'M - All'!M2,'M - All'!M5,'M - All'!M8,'M - All'!M11,'M - All'!M14,'M - All'!M17,'M - All'!M20,'M - All'!M23,'M - All'!M26,'HW - All'!M2,'HW - All'!M5,'HW - All'!M8,'HW - All'!M11,'HW - All'!M14,'HW - All'!M17,'HW - All'!M20,'HW - All'!M23,'HW - All'!M26,'HW - All'!M29,'HW - All'!M32,'HW - All'!M35,'HW - All'!M38,'HW - All'!M41,'HW - All'!M44,'HW - All'!M47,'P - All'!M2,'P - All'!M8,'OL - All'!M2,'OL - All'!M5,'OL - All'!M8,'OL - All'!M11,'OL - All'!M14,'OL - All'!M20)), 3)</f>
        <v>0.34599999999999997</v>
      </c>
      <c r="Y21" s="110">
        <f>ROUND((1 - SUM('BM -ALL- Stock'!L3,'BM -ALL- Stock'!L6,'BM -ALL- Stock'!L9,'BM -ALL- Stock'!L12,'BM -ALL- Stock'!L15,'BM -ALL- Stock'!L18,'BM -ALL- Stock'!L21,'BM -ALL- Stock'!L24,'BM -ALL- Stock'!L27,'BM -ALL- Stock'!L30,'L - All'!L3,'L - All'!L6,'L - All'!L9,'L - All'!L12,'L - All'!L15,'L - All'!L18,'L - All'!L21,'L - All'!L24,'L - All'!L27,'L - All'!L30,'M - All'!L3,'M - All'!L6,'M - All'!L9,'M - All'!L12,'M - All'!L15,'M - All'!L18,'M - All'!L21,'M - All'!L24,'M - All'!L27,'HW - All'!L3,'HW - All'!L6,'HW - All'!L9,'HW - All'!L12,'HW - All'!L15,'HW - All'!L18,'HW - All'!L21,'HW - All'!L24,'HW - All'!L27,'HW - All'!L30,'HW - All'!L33,'HW - All'!L36,'HW - All'!L39,'HW - All'!L42,'HW - All'!L45,'HW - All'!L48,'P - All'!L3,'P - All'!L9,'OL - All'!L3,'OL - All'!L6,'OL - All'!L9,'OL - All'!L12,'OL - All'!L15,'OL - All'!L21) / SUM('BM -ALL- Stock'!M3,'BM -ALL- Stock'!M6,'BM -ALL- Stock'!M9,'BM -ALL- Stock'!M12,'BM -ALL- Stock'!M15,'BM -ALL- Stock'!M18,'BM -ALL- Stock'!M21,'BM -ALL- Stock'!M24,'BM -ALL- Stock'!M27,'BM -ALL- Stock'!M30,'L - All'!M3,'L - All'!M6,'L - All'!M9,'L - All'!M12,'L - All'!M15,'L - All'!M18,'L - All'!M21,'L - All'!M24,'L - All'!M27,'L - All'!M30,'M - All'!M3,'M - All'!M6,'M - All'!M9,'M - All'!M12,'M - All'!M15,'M - All'!M18,'M - All'!M21,'M - All'!M24,'M - All'!M27,'HW - All'!M3,'HW - All'!M6,'HW - All'!M9,'HW - All'!M12,'HW - All'!M15,'HW - All'!M18,'HW - All'!M21,'HW - All'!M24,'HW - All'!M27,'HW - All'!M30,'HW - All'!M33,'HW - All'!M36,'HW - All'!M39,'HW - All'!M42,'HW - All'!M45,'HW - All'!M48,'P - All'!M3,'P - All'!M9,'OL - All'!M3,'OL - All'!M6,'OL - All'!M9,'OL - All'!M12,'OL - All'!M15,'OL - All'!M21)), 3)</f>
        <v>0.24299999999999999</v>
      </c>
      <c r="Z21" s="110">
        <f>ROUND((1 - SUM('BM -ALL- Stock'!L4,'BM -ALL- Stock'!L7,'BM -ALL- Stock'!L10,'BM -ALL- Stock'!L13,'BM -ALL- Stock'!L16,'BM -ALL- Stock'!L19,'BM -ALL- Stock'!L22,'BM -ALL- Stock'!L25,'BM -ALL- Stock'!L28,'BM -ALL- Stock'!L31,'L - All'!L4,'L - All'!L7,'L - All'!L10,'L - All'!L13,'L - All'!L16,'L - All'!L19,'L - All'!L22,'L - All'!L25,'L - All'!L28,'L - All'!L31,'M - All'!L4,'M - All'!L7,'M - All'!L10,'M - All'!L13,'M - All'!L16,'M - All'!L19,'M - All'!L22,'M - All'!L25,'M - All'!L28,'HW - All'!L4,'HW - All'!L7,'HW - All'!L10,'HW - All'!L13,'HW - All'!L16,'HW - All'!L19,'HW - All'!L22,'HW - All'!L25,'HW - All'!L28,'HW - All'!L31,'HW - All'!L34,'HW - All'!L37,'HW - All'!L40,'HW - All'!L43,'HW - All'!L46,'HW - All'!L49,'P - All'!L4,'P - All'!L10,'OL - All'!L4,'OL - All'!L7,'OL - All'!L10,'OL - All'!L13,'OL - All'!L16,'OL - All'!L22) / SUM('BM -ALL- Stock'!M4,'BM -ALL- Stock'!M7,'BM -ALL- Stock'!M10,'BM -ALL- Stock'!M13,'BM -ALL- Stock'!M16,'BM -ALL- Stock'!M19,'BM -ALL- Stock'!M22,'BM -ALL- Stock'!M25,'BM -ALL- Stock'!M28,'BM -ALL- Stock'!M31,'L - All'!M4,'L - All'!M7,'L - All'!M10,'L - All'!M13,'L - All'!M16,'L - All'!M19,'L - All'!M22,'L - All'!M25,'L - All'!M28,'L - All'!M31,'M - All'!M4,'M - All'!M7,'M - All'!M10,'M - All'!M13,'M - All'!M16,'M - All'!M19,'M - All'!M22,'M - All'!M25,'M - All'!M28,'HW - All'!M4,'HW - All'!M7,'HW - All'!M10,'HW - All'!M13,'HW - All'!M16,'HW - All'!M19,'HW - All'!M22,'HW - All'!M25,'HW - All'!M28,'HW - All'!M31,'HW - All'!M34,'HW - All'!M37,'HW - All'!M40,'HW - All'!M43,'HW - All'!M46,'HW - All'!M49,'P - All'!M4,'P - All'!M10,'OL - All'!M4,'OL - All'!M7,'OL - All'!M10,'OL - All'!M13,'OL - All'!M16,'OL - All'!M22)), 3)</f>
        <v>0.27500000000000002</v>
      </c>
      <c r="AA21" s="13">
        <f t="shared" si="0"/>
        <v>16221215</v>
      </c>
      <c r="AB21" s="13">
        <f>SUM(AB3,AB6,AB9,AB12,AB15,AB18)</f>
        <v>2594930.7599999998</v>
      </c>
      <c r="AC21" s="13">
        <f t="shared" si="0"/>
        <v>1291802.8400000001</v>
      </c>
      <c r="AD21" s="13">
        <f t="shared" si="0"/>
        <v>1302377.1499999999</v>
      </c>
      <c r="AE21" s="13">
        <f t="shared" si="0"/>
        <v>0</v>
      </c>
      <c r="AF21" s="13">
        <f t="shared" si="0"/>
        <v>839833.51</v>
      </c>
      <c r="AG21" s="13">
        <f t="shared" si="0"/>
        <v>963550.84000000008</v>
      </c>
      <c r="AH21" s="13">
        <f t="shared" si="0"/>
        <v>1316992.1100000001</v>
      </c>
      <c r="AI21" s="13">
        <f t="shared" si="0"/>
        <v>353441.27000000008</v>
      </c>
      <c r="AJ21" s="110">
        <f>1-(AG21/AH21)</f>
        <v>0.26837007398624435</v>
      </c>
      <c r="AK21" s="110">
        <f>ROUND((1 - SUM('BM -ALL- Stock'!S2,'BM -ALL- Stock'!S5,'BM -ALL- Stock'!S8,'BM -ALL- Stock'!S11,'BM -ALL- Stock'!S14,'BM -ALL- Stock'!S17,'BM -ALL- Stock'!S20,'BM -ALL- Stock'!S23,'BM -ALL- Stock'!S26,'BM -ALL- Stock'!S29,'L - All'!S2,'L - All'!S5,'L - All'!S8,'L - All'!S11,'L - All'!S14,'L - All'!S17,'L - All'!S20,'L - All'!S23,'L - All'!S26,'L - All'!S29,'M - All'!S2,'M - All'!S5,'M - All'!S8,'M - All'!S11,'M - All'!S14,'M - All'!S17,'M - All'!S20,'M - All'!S23,'M - All'!S26,'HW - All'!S2,'HW - All'!S5,'HW - All'!S8,'HW - All'!S11,'HW - All'!S14,'HW - All'!S17,'HW - All'!S20,'HW - All'!S23,'HW - All'!S26,'HW - All'!S29,'HW - All'!S32,'HW - All'!S35,'HW - All'!S38,'HW - All'!S41,'HW - All'!S44,'HW - All'!S47,'P - All'!S2,'P - All'!S8,'OL - All'!S2,'OL - All'!S5,'OL - All'!S8,'OL - All'!S11,'OL - All'!S14,'OL - All'!S20) / SUM('BM -ALL- Stock'!T2,'BM -ALL- Stock'!T5,'BM -ALL- Stock'!T8,'BM -ALL- Stock'!T11,'BM -ALL- Stock'!T14,'BM -ALL- Stock'!T17,'BM -ALL- Stock'!T20,'BM -ALL- Stock'!T23,'BM -ALL- Stock'!T26,'BM -ALL- Stock'!T29,'L - All'!T2,'L - All'!T5,'L - All'!T8,'L - All'!T11,'L - All'!T14,'L - All'!T17,'L - All'!T20,'L - All'!T23,'L - All'!T26,'L - All'!T29,'M - All'!T2,'M - All'!T5,'M - All'!T8,'M - All'!T11,'M - All'!T14,'M - All'!T17,'M - All'!T20,'M - All'!T23,'M - All'!T26,'HW - All'!T2,'HW - All'!T5,'HW - All'!T8,'HW - All'!T11,'HW - All'!T14,'HW - All'!T17,'HW - All'!T20,'HW - All'!T23,'HW - All'!T26,'HW - All'!T29,'HW - All'!T32,'HW - All'!T35,'HW - All'!T38,'HW - All'!T41,'HW - All'!T44,'HW - All'!T47,'P - All'!T2,'P - All'!T8,'OL - All'!T2,'OL - All'!T5,'OL - All'!T8,'OL - All'!T11,'OL - All'!T14,'OL - All'!T20)), 3)</f>
        <v>0.33500000000000002</v>
      </c>
      <c r="AL21" s="110">
        <f>ROUND((1 - SUM('BM -ALL- Stock'!S3,'BM -ALL- Stock'!S6,'BM -ALL- Stock'!S9,'BM -ALL- Stock'!S12,'BM -ALL- Stock'!S15,'BM -ALL- Stock'!S18,'BM -ALL- Stock'!S21,'BM -ALL- Stock'!S24,'BM -ALL- Stock'!S27,'BM -ALL- Stock'!S30,'L - All'!S3,'L - All'!S6,'L - All'!S9,'L - All'!S12,'L - All'!S15,'L - All'!S18,'L - All'!S21,'L - All'!S24,'L - All'!S27,'L - All'!S30,'M - All'!S3,'M - All'!S6,'M - All'!S9,'M - All'!S12,'M - All'!S15,'M - All'!S18,'M - All'!S21,'M - All'!S24,'M - All'!S27,'HW - All'!S3,'HW - All'!S6,'HW - All'!S9,'HW - All'!S12,'HW - All'!S15,'HW - All'!S18,'HW - All'!S21,'HW - All'!S24,'HW - All'!S27,'HW - All'!S30,'HW - All'!S33,'HW - All'!S36,'HW - All'!S39,'HW - All'!S42,'HW - All'!S45,'HW - All'!S48,'P - All'!S3,'P - All'!S9,'OL - All'!S3,'OL - All'!S6,'OL - All'!S9,'OL - All'!S12,'OL - All'!S15,'OL - All'!S21) / SUM('BM -ALL- Stock'!T3,'BM -ALL- Stock'!T6,'BM -ALL- Stock'!T9,'BM -ALL- Stock'!T12,'BM -ALL- Stock'!T15,'BM -ALL- Stock'!T18,'BM -ALL- Stock'!T21,'BM -ALL- Stock'!T24,'BM -ALL- Stock'!T27,'BM -ALL- Stock'!T30,'L - All'!T3,'L - All'!T6,'L - All'!T9,'L - All'!T12,'L - All'!T15,'L - All'!T18,'L - All'!T21,'L - All'!T24,'L - All'!T27,'L - All'!T30,'M - All'!T3,'M - All'!T6,'M - All'!T9,'M - All'!T12,'M - All'!T15,'M - All'!T18,'M - All'!T21,'M - All'!T24,'M - All'!T27,'HW - All'!T3,'HW - All'!T6,'HW - All'!T9,'HW - All'!T12,'HW - All'!T15,'HW - All'!T18,'HW - All'!T21,'HW - All'!T24,'HW - All'!T27,'HW - All'!T30,'HW - All'!T33,'HW - All'!T36,'HW - All'!T39,'HW - All'!T42,'HW - All'!T45,'HW - All'!T48,'P - All'!T3,'P - All'!T9,'OL - All'!T3,'OL - All'!T6,'OL - All'!T9,'OL - All'!T12,'OL - All'!T15,'OL - All'!T21)), 3)</f>
        <v>0.22500000000000001</v>
      </c>
      <c r="AM21" s="135" t="e">
        <f>ROUND((1 - SUM('BM -ALL- Stock'!S4,'BM -ALL- Stock'!S7,'BM -ALL- Stock'!S10,'BM -ALL- Stock'!S13,'BM -ALL- Stock'!S16,'BM -ALL- Stock'!S19,'BM -ALL- Stock'!S22,'BM -ALL- Stock'!S25,'BM -ALL- Stock'!S28,'BM -ALL- Stock'!S31,'L - All'!S4,'L - All'!S7,'L - All'!S10,'L - All'!S13,'L - All'!S16,'L - All'!S19,'L - All'!S22,'L - All'!S25,'L - All'!S28,'L - All'!S31,'M - All'!S4,'M - All'!S7,'M - All'!S10,'M - All'!S13,'M - All'!S16,'M - All'!S19,'M - All'!S22,'M - All'!S25,'M - All'!S28,'HW - All'!S4,'HW - All'!S7,'HW - All'!S10,'HW - All'!S13,'HW - All'!S16,'HW - All'!S19,'HW - All'!S22,'HW - All'!S25,'HW - All'!S28,'HW - All'!S31,'HW - All'!S34,'HW - All'!S37,'HW - All'!S40,'HW - All'!S43,'HW - All'!S46,'HW - All'!S49,'P - All'!S4,'P - All'!S10,'OL - All'!S4,'OL - All'!S7,'OL - All'!S10,'OL - All'!S13,'OL - All'!S16,'OL - All'!S22) / SUM('BM -ALL- Stock'!T4,'BM -ALL- Stock'!T7,'BM -ALL- Stock'!T10,'BM -ALL- Stock'!T13,'BM -ALL- Stock'!T16,'BM -ALL- Stock'!T19,'BM -ALL- Stock'!T22,'BM -ALL- Stock'!T25,'BM -ALL- Stock'!T28,'BM -ALL- Stock'!T31,'L - All'!T4,'L - All'!T7,'L - All'!T10,'L - All'!T13,'L - All'!T16,'L - All'!T19,'L - All'!T22,'L - All'!T25,'L - All'!T28,'L - All'!T31,'M - All'!T4,'M - All'!T7,'M - All'!T10,'M - All'!T13,'M - All'!T16,'M - All'!T19,'M - All'!T22,'M - All'!T25,'M - All'!T28,'HW - All'!T4,'HW - All'!T7,'HW - All'!T10,'HW - All'!T13,'HW - All'!T16,'HW - All'!T19,'HW - All'!T22,'HW - All'!T25,'HW - All'!T28,'HW - All'!T31,'HW - All'!T34,'HW - All'!T37,'HW - All'!T40,'HW - All'!T43,'HW - All'!T46,'HW - All'!T49,'P - All'!T4,'P - All'!T10,'OL - All'!T4,'OL - All'!T7,'OL - All'!T10,'OL - All'!T13,'OL - All'!T16,'OL - All'!T22)), 3)</f>
        <v>#DIV/0!</v>
      </c>
      <c r="AN21" s="141">
        <f>SUM(AN3:AN20)</f>
        <v>2637221.4300000002</v>
      </c>
      <c r="AO21" s="141">
        <f t="shared" ref="AO21:AP21" si="1">SUM(AO3:AO20)</f>
        <v>1116000</v>
      </c>
      <c r="AP21" s="141">
        <f t="shared" si="1"/>
        <v>168952.18000000008</v>
      </c>
    </row>
    <row r="22" spans="1:43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</row>
    <row r="23" spans="1:43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43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</row>
    <row r="25" spans="1:43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43" ht="16.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</row>
    <row r="27" spans="1:43" ht="16.5" x14ac:dyDescent="0.25">
      <c r="A27" s="11"/>
      <c r="B27" s="11"/>
      <c r="C27" s="11"/>
      <c r="D27" s="11"/>
      <c r="E27" s="123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</row>
    <row r="66" spans="4:4" x14ac:dyDescent="0.25">
      <c r="D66" s="123"/>
    </row>
  </sheetData>
  <mergeCells count="1">
    <mergeCell ref="A1:AM1"/>
  </mergeCells>
  <pageMargins left="0.25" right="0.25" top="0.75" bottom="0.75" header="0.3" footer="0.3"/>
  <pageSetup scale="32" orientation="landscape" horizontalDpi="4294967295" verticalDpi="4294967295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A9409-9A7D-42C8-81EE-5B1B50B19D5D}">
  <sheetPr codeName="Sheet10">
    <tabColor theme="9" tint="0.39997558519241921"/>
  </sheetPr>
  <dimension ref="A1:V47"/>
  <sheetViews>
    <sheetView zoomScale="90" zoomScaleNormal="90" workbookViewId="0">
      <pane ySplit="1" topLeftCell="A17" activePane="bottomLeft" state="frozen"/>
      <selection pane="bottomLeft" activeCell="C48" sqref="C48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39" t="s">
        <v>36</v>
      </c>
      <c r="B2" s="40" t="s">
        <v>69</v>
      </c>
      <c r="C2" s="68" cm="1">
        <f t="array" ref="C2:V43">'HW - All'!C2:V43</f>
        <v>6.5213784978419014</v>
      </c>
      <c r="D2" s="79">
        <v>30112.400000000001</v>
      </c>
      <c r="E2" s="79">
        <v>4340.37</v>
      </c>
      <c r="F2" s="79">
        <v>4617.49</v>
      </c>
      <c r="G2" s="79">
        <v>7703.26</v>
      </c>
      <c r="H2" s="79">
        <v>3085.77</v>
      </c>
      <c r="I2" s="80">
        <v>0.40100000000000002</v>
      </c>
      <c r="J2" s="79">
        <v>29089.83</v>
      </c>
      <c r="K2" s="79">
        <v>5212.53</v>
      </c>
      <c r="L2" s="79">
        <v>4997.04</v>
      </c>
      <c r="M2" s="79">
        <v>8074.19</v>
      </c>
      <c r="N2" s="79">
        <v>3077.15</v>
      </c>
      <c r="O2" s="80">
        <v>0.38100000000000001</v>
      </c>
      <c r="P2" s="79">
        <v>108680</v>
      </c>
      <c r="Q2" s="79">
        <v>25408.31</v>
      </c>
      <c r="R2" s="79">
        <v>3271.31</v>
      </c>
      <c r="S2" s="79">
        <v>5491.47</v>
      </c>
      <c r="T2" s="79">
        <v>9172.25</v>
      </c>
      <c r="U2" s="79">
        <v>3680.78</v>
      </c>
      <c r="V2" s="80">
        <v>0.40100000000000002</v>
      </c>
    </row>
    <row r="3" spans="1:22" x14ac:dyDescent="0.25">
      <c r="A3" s="41" t="s">
        <v>38</v>
      </c>
      <c r="B3" s="42" t="s">
        <v>69</v>
      </c>
      <c r="C3" s="68">
        <v>22.336374304954038</v>
      </c>
      <c r="D3" s="79">
        <v>15987.93</v>
      </c>
      <c r="E3" s="79">
        <v>786.27</v>
      </c>
      <c r="F3" s="79">
        <v>715.78</v>
      </c>
      <c r="G3" s="79">
        <v>1154.97</v>
      </c>
      <c r="H3" s="79">
        <v>439.19</v>
      </c>
      <c r="I3" s="80">
        <v>0.38</v>
      </c>
      <c r="J3" s="79">
        <v>19635.8</v>
      </c>
      <c r="K3" s="79">
        <v>1337.19</v>
      </c>
      <c r="L3" s="79">
        <v>804.19</v>
      </c>
      <c r="M3" s="79">
        <v>1333.27</v>
      </c>
      <c r="N3" s="79">
        <v>529.08000000000004</v>
      </c>
      <c r="O3" s="80">
        <v>0.39700000000000002</v>
      </c>
      <c r="P3" s="79">
        <v>20866</v>
      </c>
      <c r="Q3" s="79">
        <v>10839.98</v>
      </c>
      <c r="R3" s="79">
        <v>1779.29</v>
      </c>
      <c r="S3" s="79">
        <v>617.45000000000005</v>
      </c>
      <c r="T3" s="79">
        <v>1066.77</v>
      </c>
      <c r="U3" s="79">
        <v>449.32</v>
      </c>
      <c r="V3" s="80">
        <v>0.42099999999999999</v>
      </c>
    </row>
    <row r="4" spans="1:22" x14ac:dyDescent="0.25">
      <c r="A4" s="41" t="s">
        <v>39</v>
      </c>
      <c r="B4" s="42" t="s">
        <v>69</v>
      </c>
      <c r="C4" s="68" t="e">
        <v>#DIV/0!</v>
      </c>
      <c r="D4" s="79">
        <v>246.98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248.85</v>
      </c>
      <c r="K4" s="79">
        <v>0</v>
      </c>
      <c r="L4" s="79">
        <v>1.48</v>
      </c>
      <c r="M4" s="79">
        <v>8.94</v>
      </c>
      <c r="N4" s="79">
        <v>7.46</v>
      </c>
      <c r="O4" s="80">
        <v>0.83399999999999996</v>
      </c>
      <c r="P4" s="79">
        <v>222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8" t="s">
        <v>36</v>
      </c>
      <c r="B5" s="19" t="s">
        <v>70</v>
      </c>
      <c r="C5" s="69">
        <v>6.7174442821136759</v>
      </c>
      <c r="D5" s="32">
        <v>111085.57</v>
      </c>
      <c r="E5" s="32">
        <v>12028.2</v>
      </c>
      <c r="F5" s="32">
        <v>16536.88</v>
      </c>
      <c r="G5" s="32">
        <v>23918.28</v>
      </c>
      <c r="H5" s="32">
        <v>7381.4</v>
      </c>
      <c r="I5" s="81">
        <v>0.309</v>
      </c>
      <c r="J5" s="32">
        <v>131143.22</v>
      </c>
      <c r="K5" s="32">
        <v>15571.67</v>
      </c>
      <c r="L5" s="32">
        <v>17067.12</v>
      </c>
      <c r="M5" s="32">
        <v>25443.279999999999</v>
      </c>
      <c r="N5" s="32">
        <v>8376.16</v>
      </c>
      <c r="O5" s="81">
        <v>0.32900000000000001</v>
      </c>
      <c r="P5" s="32">
        <v>324821</v>
      </c>
      <c r="Q5" s="32">
        <v>140762.74</v>
      </c>
      <c r="R5" s="32">
        <v>20134.740000000002</v>
      </c>
      <c r="S5" s="32">
        <v>19280.23</v>
      </c>
      <c r="T5" s="32">
        <v>28888.03</v>
      </c>
      <c r="U5" s="32">
        <v>9607.7999999999993</v>
      </c>
      <c r="V5" s="81">
        <v>0.33300000000000002</v>
      </c>
    </row>
    <row r="6" spans="1:22" x14ac:dyDescent="0.25">
      <c r="A6" s="18" t="s">
        <v>38</v>
      </c>
      <c r="B6" s="19" t="s">
        <v>70</v>
      </c>
      <c r="C6" s="69">
        <v>28.851476855948288</v>
      </c>
      <c r="D6" s="32">
        <v>42714.9</v>
      </c>
      <c r="E6" s="32">
        <v>1572.52</v>
      </c>
      <c r="F6" s="32">
        <v>1480.51</v>
      </c>
      <c r="G6" s="32">
        <v>2336.87</v>
      </c>
      <c r="H6" s="32">
        <v>856.36</v>
      </c>
      <c r="I6" s="81">
        <v>0.36599999999999999</v>
      </c>
      <c r="J6" s="32">
        <v>43960.32</v>
      </c>
      <c r="K6" s="32">
        <v>560.66999999999996</v>
      </c>
      <c r="L6" s="32">
        <v>1861.87</v>
      </c>
      <c r="M6" s="32">
        <v>2840.78</v>
      </c>
      <c r="N6" s="32">
        <v>978.91</v>
      </c>
      <c r="O6" s="81">
        <v>0.34499999999999997</v>
      </c>
      <c r="P6" s="32">
        <v>44111</v>
      </c>
      <c r="Q6" s="32">
        <v>46141.63</v>
      </c>
      <c r="R6" s="32">
        <v>4715.21</v>
      </c>
      <c r="S6" s="32">
        <v>2419.62</v>
      </c>
      <c r="T6" s="32">
        <v>3564.99</v>
      </c>
      <c r="U6" s="32">
        <v>1145.3699999999999</v>
      </c>
      <c r="V6" s="81">
        <v>0.32100000000000001</v>
      </c>
    </row>
    <row r="7" spans="1:22" x14ac:dyDescent="0.25">
      <c r="A7" s="18" t="s">
        <v>39</v>
      </c>
      <c r="B7" s="19" t="s">
        <v>70</v>
      </c>
      <c r="C7" s="69" t="e">
        <v>#DIV/0!</v>
      </c>
      <c r="D7" s="32">
        <v>376.65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3394.2</v>
      </c>
      <c r="K7" s="32">
        <v>0</v>
      </c>
      <c r="L7" s="32">
        <v>0</v>
      </c>
      <c r="M7" s="32">
        <v>0</v>
      </c>
      <c r="N7" s="32">
        <v>0</v>
      </c>
      <c r="O7" s="81">
        <v>0</v>
      </c>
      <c r="P7" s="32">
        <v>757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36</v>
      </c>
      <c r="B8" s="21" t="s">
        <v>71</v>
      </c>
      <c r="C8" s="70">
        <v>2.4460928997019624</v>
      </c>
      <c r="D8" s="33">
        <v>108574.75</v>
      </c>
      <c r="E8" s="33">
        <v>38799.699999999997</v>
      </c>
      <c r="F8" s="33">
        <v>44387.01</v>
      </c>
      <c r="G8" s="33">
        <v>68410.41</v>
      </c>
      <c r="H8" s="33">
        <v>24023.4</v>
      </c>
      <c r="I8" s="82">
        <v>0.35099999999999998</v>
      </c>
      <c r="J8" s="33">
        <v>95448.12</v>
      </c>
      <c r="K8" s="33">
        <v>30260.97</v>
      </c>
      <c r="L8" s="33">
        <v>25695.22</v>
      </c>
      <c r="M8" s="33">
        <v>47359.11</v>
      </c>
      <c r="N8" s="33">
        <v>21663.89</v>
      </c>
      <c r="O8" s="82">
        <v>0.45700000000000002</v>
      </c>
      <c r="P8" s="33">
        <v>688731</v>
      </c>
      <c r="Q8" s="33">
        <v>89057.4</v>
      </c>
      <c r="R8" s="33">
        <v>30512.639999999999</v>
      </c>
      <c r="S8" s="33">
        <v>32044.77</v>
      </c>
      <c r="T8" s="33">
        <v>59919.74</v>
      </c>
      <c r="U8" s="33">
        <v>27874.97</v>
      </c>
      <c r="V8" s="82">
        <v>0.46500000000000002</v>
      </c>
    </row>
    <row r="9" spans="1:22" x14ac:dyDescent="0.25">
      <c r="A9" s="20" t="s">
        <v>38</v>
      </c>
      <c r="B9" s="21" t="s">
        <v>71</v>
      </c>
      <c r="C9" s="70">
        <v>10.716373948309984</v>
      </c>
      <c r="D9" s="33">
        <v>87936.85</v>
      </c>
      <c r="E9" s="33">
        <v>7377.36</v>
      </c>
      <c r="F9" s="33">
        <v>8205.84</v>
      </c>
      <c r="G9" s="33">
        <v>13625.33</v>
      </c>
      <c r="H9" s="33">
        <v>5419.49</v>
      </c>
      <c r="I9" s="82">
        <v>0.39800000000000002</v>
      </c>
      <c r="J9" s="33">
        <v>90433.4</v>
      </c>
      <c r="K9" s="33">
        <v>9128.5400000000009</v>
      </c>
      <c r="L9" s="33">
        <v>10165.74</v>
      </c>
      <c r="M9" s="33">
        <v>17529.72</v>
      </c>
      <c r="N9" s="33">
        <v>7363.98</v>
      </c>
      <c r="O9" s="82">
        <v>0.42</v>
      </c>
      <c r="P9" s="33">
        <v>255192</v>
      </c>
      <c r="Q9" s="33">
        <v>68048.88</v>
      </c>
      <c r="R9" s="33">
        <v>12782.51</v>
      </c>
      <c r="S9" s="33">
        <v>13693.16</v>
      </c>
      <c r="T9" s="33">
        <v>23108.62</v>
      </c>
      <c r="U9" s="33">
        <v>9415.4599999999991</v>
      </c>
      <c r="V9" s="82">
        <v>0.40699999999999997</v>
      </c>
    </row>
    <row r="10" spans="1:22" x14ac:dyDescent="0.25">
      <c r="A10" s="20" t="s">
        <v>39</v>
      </c>
      <c r="B10" s="21" t="s">
        <v>71</v>
      </c>
      <c r="C10" s="70">
        <v>540</v>
      </c>
      <c r="D10" s="33">
        <v>32.4</v>
      </c>
      <c r="E10" s="33">
        <v>0</v>
      </c>
      <c r="F10" s="33">
        <v>0.06</v>
      </c>
      <c r="G10" s="33">
        <v>7.0000000000000007E-2</v>
      </c>
      <c r="H10" s="33">
        <v>0.01</v>
      </c>
      <c r="I10" s="82">
        <v>0.14299999999999999</v>
      </c>
      <c r="J10" s="33">
        <v>36.229999999999997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36</v>
      </c>
      <c r="B11" s="23" t="s">
        <v>72</v>
      </c>
      <c r="C11" s="71">
        <v>4.1155016273040834</v>
      </c>
      <c r="D11" s="34">
        <v>65135.18</v>
      </c>
      <c r="E11" s="34">
        <v>18127.650000000001</v>
      </c>
      <c r="F11" s="34">
        <v>15826.79</v>
      </c>
      <c r="G11" s="34">
        <v>22064.53</v>
      </c>
      <c r="H11" s="34">
        <v>6237.74</v>
      </c>
      <c r="I11" s="83">
        <v>0.28299999999999997</v>
      </c>
      <c r="J11" s="34">
        <v>63346</v>
      </c>
      <c r="K11" s="34">
        <v>17349.25</v>
      </c>
      <c r="L11" s="34">
        <v>16865.310000000001</v>
      </c>
      <c r="M11" s="34">
        <v>24397.81</v>
      </c>
      <c r="N11" s="34">
        <v>7532.5</v>
      </c>
      <c r="O11" s="83">
        <v>0.309</v>
      </c>
      <c r="P11" s="34">
        <v>322319</v>
      </c>
      <c r="Q11" s="34">
        <v>54975.94</v>
      </c>
      <c r="R11" s="34">
        <v>8335.2000000000007</v>
      </c>
      <c r="S11" s="34">
        <v>14616.95</v>
      </c>
      <c r="T11" s="34">
        <v>23666.78</v>
      </c>
      <c r="U11" s="34">
        <v>9049.83</v>
      </c>
      <c r="V11" s="83">
        <v>0.38200000000000001</v>
      </c>
    </row>
    <row r="12" spans="1:22" x14ac:dyDescent="0.25">
      <c r="A12" s="22" t="s">
        <v>38</v>
      </c>
      <c r="B12" s="23" t="s">
        <v>72</v>
      </c>
      <c r="C12" s="71">
        <v>14.988312234451357</v>
      </c>
      <c r="D12" s="34">
        <v>41344.36</v>
      </c>
      <c r="E12" s="34">
        <v>-8480.5400000000009</v>
      </c>
      <c r="F12" s="34">
        <v>2758.44</v>
      </c>
      <c r="G12" s="34">
        <v>3666.59</v>
      </c>
      <c r="H12" s="34">
        <v>908.15</v>
      </c>
      <c r="I12" s="83">
        <v>0.248</v>
      </c>
      <c r="J12" s="34">
        <v>35391.21</v>
      </c>
      <c r="K12" s="34">
        <v>8652.73</v>
      </c>
      <c r="L12" s="34">
        <v>1771.04</v>
      </c>
      <c r="M12" s="34">
        <v>2461.84</v>
      </c>
      <c r="N12" s="34">
        <v>690.8</v>
      </c>
      <c r="O12" s="83">
        <v>0.28100000000000003</v>
      </c>
      <c r="P12" s="34">
        <v>77641</v>
      </c>
      <c r="Q12" s="34">
        <v>31593.79</v>
      </c>
      <c r="R12" s="34">
        <v>-2188.0100000000002</v>
      </c>
      <c r="S12" s="34">
        <v>1889.36</v>
      </c>
      <c r="T12" s="34">
        <v>2710.01</v>
      </c>
      <c r="U12" s="34">
        <v>820.65</v>
      </c>
      <c r="V12" s="83">
        <v>0.30299999999999999</v>
      </c>
    </row>
    <row r="13" spans="1:22" x14ac:dyDescent="0.25">
      <c r="A13" s="22" t="s">
        <v>39</v>
      </c>
      <c r="B13" s="23" t="s">
        <v>72</v>
      </c>
      <c r="C13" s="71">
        <v>319.28971962616822</v>
      </c>
      <c r="D13" s="34">
        <v>341.64</v>
      </c>
      <c r="E13" s="34">
        <v>0</v>
      </c>
      <c r="F13" s="34">
        <v>1.07</v>
      </c>
      <c r="G13" s="34">
        <v>1.99</v>
      </c>
      <c r="H13" s="34">
        <v>0.92</v>
      </c>
      <c r="I13" s="83">
        <v>0.46200000000000002</v>
      </c>
      <c r="J13" s="34">
        <v>256.58999999999997</v>
      </c>
      <c r="K13" s="34">
        <v>22.93</v>
      </c>
      <c r="L13" s="34">
        <v>24.27</v>
      </c>
      <c r="M13" s="34">
        <v>29.99</v>
      </c>
      <c r="N13" s="34">
        <v>5.72</v>
      </c>
      <c r="O13" s="83">
        <v>0.191</v>
      </c>
      <c r="P13" s="34">
        <v>109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36</v>
      </c>
      <c r="B14" s="25" t="s">
        <v>73</v>
      </c>
      <c r="C14" s="72">
        <v>10.682818595682461</v>
      </c>
      <c r="D14" s="35">
        <v>33462.22</v>
      </c>
      <c r="E14" s="35">
        <v>3370.96</v>
      </c>
      <c r="F14" s="35">
        <v>3132.34</v>
      </c>
      <c r="G14" s="35">
        <v>5504.43</v>
      </c>
      <c r="H14" s="35">
        <v>2372.09</v>
      </c>
      <c r="I14" s="84">
        <v>0.43099999999999999</v>
      </c>
      <c r="J14" s="35">
        <v>24881</v>
      </c>
      <c r="K14" s="35">
        <v>2871.94</v>
      </c>
      <c r="L14" s="35">
        <v>2074.38</v>
      </c>
      <c r="M14" s="35">
        <v>3667.91</v>
      </c>
      <c r="N14" s="35">
        <v>1593.53</v>
      </c>
      <c r="O14" s="84">
        <v>0.434</v>
      </c>
      <c r="P14" s="35">
        <v>109440</v>
      </c>
      <c r="Q14" s="35">
        <v>24867.73</v>
      </c>
      <c r="R14" s="35">
        <v>1835.29</v>
      </c>
      <c r="S14" s="35">
        <v>2658.5</v>
      </c>
      <c r="T14" s="35">
        <v>4539.1499999999996</v>
      </c>
      <c r="U14" s="35">
        <v>1880.65</v>
      </c>
      <c r="V14" s="84">
        <v>0.41399999999999998</v>
      </c>
    </row>
    <row r="15" spans="1:22" x14ac:dyDescent="0.25">
      <c r="A15" s="24" t="s">
        <v>38</v>
      </c>
      <c r="B15" s="25" t="s">
        <v>73</v>
      </c>
      <c r="C15" s="72">
        <v>111.03272908974822</v>
      </c>
      <c r="D15" s="35">
        <v>39997.32</v>
      </c>
      <c r="E15" s="35">
        <v>218.19</v>
      </c>
      <c r="F15" s="35">
        <v>360.23</v>
      </c>
      <c r="G15" s="35">
        <v>647.14</v>
      </c>
      <c r="H15" s="35">
        <v>286.91000000000003</v>
      </c>
      <c r="I15" s="84">
        <v>0.443</v>
      </c>
      <c r="J15" s="35">
        <v>22337.47</v>
      </c>
      <c r="K15" s="35">
        <v>-88.06</v>
      </c>
      <c r="L15" s="35">
        <v>240.03</v>
      </c>
      <c r="M15" s="35">
        <v>382.81</v>
      </c>
      <c r="N15" s="35">
        <v>142.78</v>
      </c>
      <c r="O15" s="84">
        <v>0.373</v>
      </c>
      <c r="P15" s="35">
        <v>11788</v>
      </c>
      <c r="Q15" s="35">
        <v>5687.87</v>
      </c>
      <c r="R15" s="35">
        <v>278.25</v>
      </c>
      <c r="S15" s="35">
        <v>107.01</v>
      </c>
      <c r="T15" s="35">
        <v>182.72</v>
      </c>
      <c r="U15" s="35">
        <v>75.709999999999994</v>
      </c>
      <c r="V15" s="84">
        <v>0.41399999999999998</v>
      </c>
    </row>
    <row r="16" spans="1:22" x14ac:dyDescent="0.25">
      <c r="A16" s="24" t="s">
        <v>39</v>
      </c>
      <c r="B16" s="25" t="s">
        <v>73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-82.5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x14ac:dyDescent="0.25">
      <c r="A17" s="26" t="s">
        <v>36</v>
      </c>
      <c r="B17" s="27" t="s">
        <v>74</v>
      </c>
      <c r="C17" s="73">
        <v>23.611757964423742</v>
      </c>
      <c r="D17" s="36">
        <v>38733.199999999997</v>
      </c>
      <c r="E17" s="36">
        <v>1050.23</v>
      </c>
      <c r="F17" s="36">
        <v>1640.42</v>
      </c>
      <c r="G17" s="36">
        <v>3060.6</v>
      </c>
      <c r="H17" s="36">
        <v>1420.18</v>
      </c>
      <c r="I17" s="85">
        <v>0.46400000000000002</v>
      </c>
      <c r="J17" s="36">
        <v>29964.7</v>
      </c>
      <c r="K17" s="36">
        <v>534.95000000000005</v>
      </c>
      <c r="L17" s="36">
        <v>897.85</v>
      </c>
      <c r="M17" s="36">
        <v>1682.47</v>
      </c>
      <c r="N17" s="36">
        <v>784.62</v>
      </c>
      <c r="O17" s="85">
        <v>0.46600000000000003</v>
      </c>
      <c r="P17" s="36">
        <v>62836</v>
      </c>
      <c r="Q17" s="36">
        <v>16430.349999999999</v>
      </c>
      <c r="R17" s="36">
        <v>890.77</v>
      </c>
      <c r="S17" s="36">
        <v>859.34</v>
      </c>
      <c r="T17" s="36">
        <v>1732.79</v>
      </c>
      <c r="U17" s="36">
        <v>873.45</v>
      </c>
      <c r="V17" s="85">
        <v>0.504</v>
      </c>
    </row>
    <row r="18" spans="1:22" x14ac:dyDescent="0.25">
      <c r="A18" s="26" t="s">
        <v>38</v>
      </c>
      <c r="B18" s="27" t="s">
        <v>74</v>
      </c>
      <c r="C18" s="73">
        <v>94.64130344541303</v>
      </c>
      <c r="D18" s="36">
        <v>45598.18</v>
      </c>
      <c r="E18" s="36">
        <v>523.98</v>
      </c>
      <c r="F18" s="36">
        <v>481.8</v>
      </c>
      <c r="G18" s="36">
        <v>834.56</v>
      </c>
      <c r="H18" s="36">
        <v>352.76</v>
      </c>
      <c r="I18" s="85">
        <v>0.42299999999999999</v>
      </c>
      <c r="J18" s="36">
        <v>28964.98</v>
      </c>
      <c r="K18" s="36">
        <v>-121.49</v>
      </c>
      <c r="L18" s="36">
        <v>190.7</v>
      </c>
      <c r="M18" s="36">
        <v>461.98</v>
      </c>
      <c r="N18" s="36">
        <v>271.27999999999997</v>
      </c>
      <c r="O18" s="85">
        <v>0.58699999999999997</v>
      </c>
      <c r="P18" s="36">
        <v>16889</v>
      </c>
      <c r="Q18" s="36">
        <v>9799.0499999999993</v>
      </c>
      <c r="R18" s="36">
        <v>236.06</v>
      </c>
      <c r="S18" s="36">
        <v>218.52</v>
      </c>
      <c r="T18" s="36">
        <v>331.16</v>
      </c>
      <c r="U18" s="36">
        <v>112.64</v>
      </c>
      <c r="V18" s="85">
        <v>0.34</v>
      </c>
    </row>
    <row r="19" spans="1:22" x14ac:dyDescent="0.25">
      <c r="A19" s="26" t="s">
        <v>39</v>
      </c>
      <c r="B19" s="27" t="s">
        <v>74</v>
      </c>
      <c r="C19" s="73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v>0</v>
      </c>
      <c r="J19" s="36">
        <v>688.18</v>
      </c>
      <c r="K19" s="36">
        <v>0</v>
      </c>
      <c r="L19" s="36">
        <v>0</v>
      </c>
      <c r="M19" s="36">
        <v>0</v>
      </c>
      <c r="N19" s="36">
        <v>0</v>
      </c>
      <c r="O19" s="85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v>0</v>
      </c>
    </row>
    <row r="20" spans="1:22" x14ac:dyDescent="0.25">
      <c r="A20" s="28" t="s">
        <v>36</v>
      </c>
      <c r="B20" s="29" t="s">
        <v>75</v>
      </c>
      <c r="C20" s="74">
        <v>3.9347496692622141</v>
      </c>
      <c r="D20" s="37">
        <v>8595.5</v>
      </c>
      <c r="E20" s="37">
        <v>1269.99</v>
      </c>
      <c r="F20" s="37">
        <v>2184.5100000000002</v>
      </c>
      <c r="G20" s="37">
        <v>3591.35</v>
      </c>
      <c r="H20" s="37">
        <v>1406.84</v>
      </c>
      <c r="I20" s="86">
        <v>0.39200000000000002</v>
      </c>
      <c r="J20" s="37">
        <v>6259.26</v>
      </c>
      <c r="K20" s="37">
        <v>922.12</v>
      </c>
      <c r="L20" s="37">
        <v>917.51</v>
      </c>
      <c r="M20" s="37">
        <v>1641.16</v>
      </c>
      <c r="N20" s="37">
        <v>723.65</v>
      </c>
      <c r="O20" s="86">
        <v>0.441</v>
      </c>
      <c r="P20" s="37">
        <v>28214</v>
      </c>
      <c r="Q20" s="37">
        <v>5650.27</v>
      </c>
      <c r="R20" s="37">
        <v>401.55</v>
      </c>
      <c r="S20" s="37">
        <v>805.04</v>
      </c>
      <c r="T20" s="37">
        <v>1439.83</v>
      </c>
      <c r="U20" s="37">
        <v>634.79</v>
      </c>
      <c r="V20" s="86">
        <v>0.441</v>
      </c>
    </row>
    <row r="21" spans="1:22" x14ac:dyDescent="0.25">
      <c r="A21" s="28" t="s">
        <v>38</v>
      </c>
      <c r="B21" s="29" t="s">
        <v>75</v>
      </c>
      <c r="C21" s="74">
        <v>46.236273599504798</v>
      </c>
      <c r="D21" s="37">
        <v>7469.47</v>
      </c>
      <c r="E21" s="37">
        <v>398.06</v>
      </c>
      <c r="F21" s="37">
        <v>161.55000000000001</v>
      </c>
      <c r="G21" s="37">
        <v>281.77999999999997</v>
      </c>
      <c r="H21" s="37">
        <v>120.23</v>
      </c>
      <c r="I21" s="86">
        <v>0.42699999999999999</v>
      </c>
      <c r="J21" s="37">
        <v>3605.44</v>
      </c>
      <c r="K21" s="37">
        <v>76.47</v>
      </c>
      <c r="L21" s="37">
        <v>160.4</v>
      </c>
      <c r="M21" s="37">
        <v>274.20999999999998</v>
      </c>
      <c r="N21" s="37">
        <v>113.81</v>
      </c>
      <c r="O21" s="86">
        <v>0.41499999999999998</v>
      </c>
      <c r="P21" s="37">
        <v>5349</v>
      </c>
      <c r="Q21" s="37">
        <v>1604.08</v>
      </c>
      <c r="R21" s="37">
        <v>176.09</v>
      </c>
      <c r="S21" s="37">
        <v>65.510000000000005</v>
      </c>
      <c r="T21" s="37">
        <v>81.760000000000005</v>
      </c>
      <c r="U21" s="37">
        <v>16.25</v>
      </c>
      <c r="V21" s="86">
        <v>0.19900000000000001</v>
      </c>
    </row>
    <row r="22" spans="1:22" x14ac:dyDescent="0.25">
      <c r="A22" s="28" t="s">
        <v>39</v>
      </c>
      <c r="B22" s="29" t="s">
        <v>75</v>
      </c>
      <c r="C22" s="74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v>0</v>
      </c>
    </row>
    <row r="23" spans="1:22" x14ac:dyDescent="0.25">
      <c r="A23" s="41" t="s">
        <v>36</v>
      </c>
      <c r="B23" s="42" t="s">
        <v>76</v>
      </c>
      <c r="C23" s="68">
        <v>6.1826618946032204</v>
      </c>
      <c r="D23" s="79">
        <v>17533.72</v>
      </c>
      <c r="E23" s="79">
        <v>1442.07</v>
      </c>
      <c r="F23" s="79">
        <v>2835.95</v>
      </c>
      <c r="G23" s="79">
        <v>4512.07</v>
      </c>
      <c r="H23" s="79">
        <v>1676.12</v>
      </c>
      <c r="I23" s="80">
        <v>0.371</v>
      </c>
      <c r="J23" s="79">
        <v>16021.45</v>
      </c>
      <c r="K23" s="79">
        <v>1607.89</v>
      </c>
      <c r="L23" s="79">
        <v>1909.18</v>
      </c>
      <c r="M23" s="79">
        <v>3088.77</v>
      </c>
      <c r="N23" s="79">
        <v>1179.5899999999999</v>
      </c>
      <c r="O23" s="80">
        <v>0.38200000000000001</v>
      </c>
      <c r="P23" s="79">
        <v>104110</v>
      </c>
      <c r="Q23" s="79">
        <v>12314.31</v>
      </c>
      <c r="R23" s="79">
        <v>1695.53</v>
      </c>
      <c r="S23" s="79">
        <v>1841.55</v>
      </c>
      <c r="T23" s="79">
        <v>3004.45</v>
      </c>
      <c r="U23" s="79">
        <v>1162.9000000000001</v>
      </c>
      <c r="V23" s="80">
        <v>0.38700000000000001</v>
      </c>
    </row>
    <row r="24" spans="1:22" x14ac:dyDescent="0.25">
      <c r="A24" s="41" t="s">
        <v>38</v>
      </c>
      <c r="B24" s="42" t="s">
        <v>76</v>
      </c>
      <c r="C24" s="68">
        <v>18.29303051460019</v>
      </c>
      <c r="D24" s="79">
        <v>4454.17</v>
      </c>
      <c r="E24" s="79">
        <v>143.22</v>
      </c>
      <c r="F24" s="79">
        <v>243.49</v>
      </c>
      <c r="G24" s="79">
        <v>341.81</v>
      </c>
      <c r="H24" s="79">
        <v>98.32</v>
      </c>
      <c r="I24" s="80">
        <v>0.28799999999999998</v>
      </c>
      <c r="J24" s="79">
        <v>7347.46</v>
      </c>
      <c r="K24" s="79">
        <v>61.83</v>
      </c>
      <c r="L24" s="79">
        <v>119.25</v>
      </c>
      <c r="M24" s="79">
        <v>187.87</v>
      </c>
      <c r="N24" s="79">
        <v>68.62</v>
      </c>
      <c r="O24" s="80">
        <v>0.36499999999999999</v>
      </c>
      <c r="P24" s="79">
        <v>4560</v>
      </c>
      <c r="Q24" s="79">
        <v>1109.1400000000001</v>
      </c>
      <c r="R24" s="79">
        <v>4.3600000000000003</v>
      </c>
      <c r="S24" s="79">
        <v>39.78</v>
      </c>
      <c r="T24" s="79">
        <v>166.53</v>
      </c>
      <c r="U24" s="79">
        <v>126.75</v>
      </c>
      <c r="V24" s="80">
        <v>0.76100000000000001</v>
      </c>
    </row>
    <row r="25" spans="1:22" x14ac:dyDescent="0.25">
      <c r="A25" s="41" t="s">
        <v>39</v>
      </c>
      <c r="B25" s="42" t="s">
        <v>76</v>
      </c>
      <c r="C25" s="68" t="e">
        <v>#DIV/0!</v>
      </c>
      <c r="D25" s="79">
        <v>139.76</v>
      </c>
      <c r="E25" s="79">
        <v>0</v>
      </c>
      <c r="F25" s="79">
        <v>0</v>
      </c>
      <c r="G25" s="79">
        <v>0</v>
      </c>
      <c r="H25" s="79">
        <v>0</v>
      </c>
      <c r="I25" s="80">
        <v>0</v>
      </c>
      <c r="J25" s="79">
        <v>82.13</v>
      </c>
      <c r="K25" s="79">
        <v>2.11</v>
      </c>
      <c r="L25" s="79">
        <v>0</v>
      </c>
      <c r="M25" s="79">
        <v>0</v>
      </c>
      <c r="N25" s="79">
        <v>0</v>
      </c>
      <c r="O25" s="80">
        <v>0</v>
      </c>
      <c r="P25" s="79">
        <v>141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v>0</v>
      </c>
    </row>
    <row r="26" spans="1:22" x14ac:dyDescent="0.25">
      <c r="A26" s="18" t="s">
        <v>36</v>
      </c>
      <c r="B26" s="19" t="s">
        <v>77</v>
      </c>
      <c r="C26" s="69">
        <v>2.1649042807147656</v>
      </c>
      <c r="D26" s="32">
        <v>7472.73</v>
      </c>
      <c r="E26" s="32">
        <v>2455.86</v>
      </c>
      <c r="F26" s="32">
        <v>3451.76</v>
      </c>
      <c r="G26" s="32">
        <v>5669.09</v>
      </c>
      <c r="H26" s="32">
        <v>2217.33</v>
      </c>
      <c r="I26" s="81">
        <v>0.39100000000000001</v>
      </c>
      <c r="J26" s="32">
        <v>7582.79</v>
      </c>
      <c r="K26" s="32">
        <v>584.6</v>
      </c>
      <c r="L26" s="32">
        <v>1694.99</v>
      </c>
      <c r="M26" s="32">
        <v>2808.46</v>
      </c>
      <c r="N26" s="32">
        <v>1113.47</v>
      </c>
      <c r="O26" s="81">
        <v>0.39600000000000002</v>
      </c>
      <c r="P26" s="32">
        <v>49894</v>
      </c>
      <c r="Q26" s="32">
        <v>5685.78</v>
      </c>
      <c r="R26" s="32">
        <v>1058.3800000000001</v>
      </c>
      <c r="S26" s="32">
        <v>1032.3900000000001</v>
      </c>
      <c r="T26" s="32">
        <v>1814.38</v>
      </c>
      <c r="U26" s="32">
        <v>781.99</v>
      </c>
      <c r="V26" s="81">
        <v>0.43099999999999999</v>
      </c>
    </row>
    <row r="27" spans="1:22" x14ac:dyDescent="0.25">
      <c r="A27" s="18" t="s">
        <v>38</v>
      </c>
      <c r="B27" s="19" t="s">
        <v>77</v>
      </c>
      <c r="C27" s="69">
        <v>7.3504121897672254</v>
      </c>
      <c r="D27" s="32">
        <v>5055.54</v>
      </c>
      <c r="E27" s="32">
        <v>-13.31</v>
      </c>
      <c r="F27" s="32">
        <v>687.79</v>
      </c>
      <c r="G27" s="32">
        <v>944.7</v>
      </c>
      <c r="H27" s="32">
        <v>256.91000000000003</v>
      </c>
      <c r="I27" s="81">
        <v>0.27200000000000002</v>
      </c>
      <c r="J27" s="32">
        <v>5672.63</v>
      </c>
      <c r="K27" s="32">
        <v>387.92</v>
      </c>
      <c r="L27" s="32">
        <v>393.24</v>
      </c>
      <c r="M27" s="32">
        <v>655.89</v>
      </c>
      <c r="N27" s="32">
        <v>262.64999999999998</v>
      </c>
      <c r="O27" s="81">
        <v>0.4</v>
      </c>
      <c r="P27" s="32">
        <v>4307</v>
      </c>
      <c r="Q27" s="32">
        <v>1089.5899999999999</v>
      </c>
      <c r="R27" s="32">
        <v>102.57</v>
      </c>
      <c r="S27" s="32">
        <v>63.75</v>
      </c>
      <c r="T27" s="32">
        <v>97.22</v>
      </c>
      <c r="U27" s="32">
        <v>33.47</v>
      </c>
      <c r="V27" s="81">
        <v>0.34399999999999997</v>
      </c>
    </row>
    <row r="28" spans="1:22" x14ac:dyDescent="0.25">
      <c r="A28" s="18" t="s">
        <v>39</v>
      </c>
      <c r="B28" s="19" t="s">
        <v>77</v>
      </c>
      <c r="C28" s="69" t="e">
        <v>#DIV/0!</v>
      </c>
      <c r="D28" s="32">
        <v>58.93</v>
      </c>
      <c r="E28" s="32">
        <v>0</v>
      </c>
      <c r="F28" s="32">
        <v>0</v>
      </c>
      <c r="G28" s="32">
        <v>0</v>
      </c>
      <c r="H28" s="32">
        <v>0</v>
      </c>
      <c r="I28" s="81">
        <v>0</v>
      </c>
      <c r="J28" s="32">
        <v>128.46</v>
      </c>
      <c r="K28" s="32">
        <v>0</v>
      </c>
      <c r="L28" s="32">
        <v>0</v>
      </c>
      <c r="M28" s="32">
        <v>0</v>
      </c>
      <c r="N28" s="32">
        <v>0</v>
      </c>
      <c r="O28" s="81">
        <v>0</v>
      </c>
      <c r="P28" s="32">
        <v>113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v>0</v>
      </c>
    </row>
    <row r="29" spans="1:22" x14ac:dyDescent="0.25">
      <c r="A29" s="20" t="s">
        <v>36</v>
      </c>
      <c r="B29" s="21" t="s">
        <v>78</v>
      </c>
      <c r="C29" s="70">
        <v>3.696047855207321</v>
      </c>
      <c r="D29" s="33">
        <v>1445.82</v>
      </c>
      <c r="E29" s="33">
        <v>273.32</v>
      </c>
      <c r="F29" s="33">
        <v>391.18</v>
      </c>
      <c r="G29" s="33">
        <v>714.3</v>
      </c>
      <c r="H29" s="33">
        <v>323.12</v>
      </c>
      <c r="I29" s="82">
        <v>0.45200000000000001</v>
      </c>
      <c r="J29" s="33">
        <v>1287.8499999999999</v>
      </c>
      <c r="K29" s="33">
        <v>145.9</v>
      </c>
      <c r="L29" s="33">
        <v>223.27</v>
      </c>
      <c r="M29" s="33">
        <v>403.2</v>
      </c>
      <c r="N29" s="33">
        <v>179.93</v>
      </c>
      <c r="O29" s="82">
        <v>0.44600000000000001</v>
      </c>
      <c r="P29" s="33">
        <v>6317</v>
      </c>
      <c r="Q29" s="33">
        <v>427.9</v>
      </c>
      <c r="R29" s="33">
        <v>4.01</v>
      </c>
      <c r="S29" s="33">
        <v>6.61</v>
      </c>
      <c r="T29" s="33">
        <v>16.350000000000001</v>
      </c>
      <c r="U29" s="33">
        <v>9.74</v>
      </c>
      <c r="V29" s="82">
        <v>0.59599999999999997</v>
      </c>
    </row>
    <row r="30" spans="1:22" x14ac:dyDescent="0.25">
      <c r="A30" s="20" t="s">
        <v>38</v>
      </c>
      <c r="B30" s="21" t="s">
        <v>78</v>
      </c>
      <c r="C30" s="70">
        <v>31.881061299176576</v>
      </c>
      <c r="D30" s="33">
        <v>696.92</v>
      </c>
      <c r="E30" s="33">
        <v>16.12</v>
      </c>
      <c r="F30" s="33">
        <v>21.86</v>
      </c>
      <c r="G30" s="33">
        <v>40.369999999999997</v>
      </c>
      <c r="H30" s="33">
        <v>18.510000000000002</v>
      </c>
      <c r="I30" s="82">
        <v>0.45900000000000002</v>
      </c>
      <c r="J30" s="33">
        <v>966.97</v>
      </c>
      <c r="K30" s="33">
        <v>49.47</v>
      </c>
      <c r="L30" s="33">
        <v>54.34</v>
      </c>
      <c r="M30" s="33">
        <v>85.2</v>
      </c>
      <c r="N30" s="33">
        <v>30.86</v>
      </c>
      <c r="O30" s="82">
        <v>0.36199999999999999</v>
      </c>
      <c r="P30" s="33">
        <v>576</v>
      </c>
      <c r="Q30" s="33">
        <v>42.51</v>
      </c>
      <c r="R30" s="33">
        <v>0</v>
      </c>
      <c r="S30" s="33">
        <v>0</v>
      </c>
      <c r="T30" s="33">
        <v>0</v>
      </c>
      <c r="U30" s="33">
        <v>0</v>
      </c>
      <c r="V30" s="82">
        <v>0</v>
      </c>
    </row>
    <row r="31" spans="1:22" x14ac:dyDescent="0.25">
      <c r="A31" s="20" t="s">
        <v>39</v>
      </c>
      <c r="B31" s="21" t="s">
        <v>78</v>
      </c>
      <c r="C31" s="70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82">
        <v>0</v>
      </c>
      <c r="J31" s="33">
        <v>93.98</v>
      </c>
      <c r="K31" s="33">
        <v>0</v>
      </c>
      <c r="L31" s="33">
        <v>0</v>
      </c>
      <c r="M31" s="33">
        <v>0</v>
      </c>
      <c r="N31" s="33">
        <v>0</v>
      </c>
      <c r="O31" s="82"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82">
        <v>0</v>
      </c>
    </row>
    <row r="32" spans="1:22" x14ac:dyDescent="0.25">
      <c r="A32" s="22" t="s">
        <v>36</v>
      </c>
      <c r="B32" s="23" t="s">
        <v>79</v>
      </c>
      <c r="C32" s="71">
        <v>1.33764832793959E-2</v>
      </c>
      <c r="D32" s="34">
        <v>1.86</v>
      </c>
      <c r="E32" s="34">
        <v>1917.94</v>
      </c>
      <c r="F32" s="34">
        <v>139.05000000000001</v>
      </c>
      <c r="G32" s="34">
        <v>139.05000000000001</v>
      </c>
      <c r="H32" s="34">
        <v>0</v>
      </c>
      <c r="I32" s="83">
        <v>0</v>
      </c>
      <c r="J32" s="34">
        <v>956.99</v>
      </c>
      <c r="K32" s="34">
        <v>1960.99</v>
      </c>
      <c r="L32" s="34">
        <v>115.18</v>
      </c>
      <c r="M32" s="34">
        <v>154.84</v>
      </c>
      <c r="N32" s="34">
        <v>39.659999999999997</v>
      </c>
      <c r="O32" s="83">
        <v>0.25600000000000001</v>
      </c>
      <c r="P32" s="34">
        <v>2079</v>
      </c>
      <c r="Q32" s="34">
        <v>282.58</v>
      </c>
      <c r="R32" s="34">
        <v>1952.97</v>
      </c>
      <c r="S32" s="34">
        <v>109.94</v>
      </c>
      <c r="T32" s="34">
        <v>156.78</v>
      </c>
      <c r="U32" s="34">
        <v>46.84</v>
      </c>
      <c r="V32" s="83">
        <v>0.29899999999999999</v>
      </c>
    </row>
    <row r="33" spans="1:22" x14ac:dyDescent="0.25">
      <c r="A33" s="22" t="s">
        <v>38</v>
      </c>
      <c r="B33" s="23" t="s">
        <v>79</v>
      </c>
      <c r="C33" s="71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83">
        <v>0</v>
      </c>
      <c r="J33" s="34">
        <v>4738.96</v>
      </c>
      <c r="K33" s="34">
        <v>431.72</v>
      </c>
      <c r="L33" s="34">
        <v>67.400000000000006</v>
      </c>
      <c r="M33" s="34">
        <v>67.400000000000006</v>
      </c>
      <c r="N33" s="34">
        <v>0</v>
      </c>
      <c r="O33" s="83">
        <v>0</v>
      </c>
      <c r="P33" s="34">
        <v>1236</v>
      </c>
      <c r="Q33" s="34">
        <v>148.56</v>
      </c>
      <c r="R33" s="34">
        <v>0</v>
      </c>
      <c r="S33" s="34">
        <v>0</v>
      </c>
      <c r="T33" s="34">
        <v>0</v>
      </c>
      <c r="U33" s="34">
        <v>0</v>
      </c>
      <c r="V33" s="83">
        <v>0</v>
      </c>
    </row>
    <row r="34" spans="1:22" x14ac:dyDescent="0.25">
      <c r="A34" s="22" t="s">
        <v>39</v>
      </c>
      <c r="B34" s="23" t="s">
        <v>79</v>
      </c>
      <c r="C34" s="71">
        <v>0</v>
      </c>
      <c r="D34" s="34">
        <v>0</v>
      </c>
      <c r="E34" s="34">
        <v>585.97</v>
      </c>
      <c r="F34" s="34">
        <v>0</v>
      </c>
      <c r="G34" s="34">
        <v>0</v>
      </c>
      <c r="H34" s="34">
        <v>0</v>
      </c>
      <c r="I34" s="83">
        <v>0</v>
      </c>
      <c r="J34" s="34">
        <v>0.35</v>
      </c>
      <c r="K34" s="34">
        <v>459.68</v>
      </c>
      <c r="L34" s="34">
        <v>0</v>
      </c>
      <c r="M34" s="34">
        <v>0</v>
      </c>
      <c r="N34" s="34">
        <v>0</v>
      </c>
      <c r="O34" s="83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83">
        <v>0</v>
      </c>
    </row>
    <row r="35" spans="1:22" x14ac:dyDescent="0.25">
      <c r="A35" s="24" t="s">
        <v>36</v>
      </c>
      <c r="B35" s="25" t="s">
        <v>80</v>
      </c>
      <c r="C35" s="68">
        <v>7.0014285714285709</v>
      </c>
      <c r="D35" s="79">
        <v>3136.64</v>
      </c>
      <c r="E35" s="79">
        <v>802.3</v>
      </c>
      <c r="F35" s="79">
        <v>448</v>
      </c>
      <c r="G35" s="79">
        <v>747.29</v>
      </c>
      <c r="H35" s="79">
        <v>299.29000000000002</v>
      </c>
      <c r="I35" s="80">
        <v>0.40100000000000002</v>
      </c>
      <c r="J35" s="79">
        <v>6227.17</v>
      </c>
      <c r="K35" s="79">
        <v>829.34</v>
      </c>
      <c r="L35" s="79">
        <v>512.36</v>
      </c>
      <c r="M35" s="79">
        <v>831.61</v>
      </c>
      <c r="N35" s="79">
        <v>319.25</v>
      </c>
      <c r="O35" s="80">
        <v>0.38400000000000001</v>
      </c>
      <c r="P35" s="79">
        <v>13402</v>
      </c>
      <c r="Q35" s="79">
        <v>8367.4599999999991</v>
      </c>
      <c r="R35" s="79">
        <v>373.78</v>
      </c>
      <c r="S35" s="79">
        <v>488.22</v>
      </c>
      <c r="T35" s="79">
        <v>630.47</v>
      </c>
      <c r="U35" s="79">
        <v>142.25</v>
      </c>
      <c r="V35" s="80">
        <v>0.22600000000000001</v>
      </c>
    </row>
    <row r="36" spans="1:22" x14ac:dyDescent="0.25">
      <c r="A36" s="24" t="s">
        <v>38</v>
      </c>
      <c r="B36" s="25" t="s">
        <v>80</v>
      </c>
      <c r="C36" s="68">
        <v>16.358006741127486</v>
      </c>
      <c r="D36" s="79">
        <v>2475.13</v>
      </c>
      <c r="E36" s="79">
        <v>159.9</v>
      </c>
      <c r="F36" s="79">
        <v>151.31</v>
      </c>
      <c r="G36" s="79">
        <v>251.12</v>
      </c>
      <c r="H36" s="79">
        <v>99.81</v>
      </c>
      <c r="I36" s="80">
        <v>0.39700000000000002</v>
      </c>
      <c r="J36" s="79">
        <v>2268.63</v>
      </c>
      <c r="K36" s="79">
        <v>461.69</v>
      </c>
      <c r="L36" s="79">
        <v>323.75</v>
      </c>
      <c r="M36" s="79">
        <v>529.71</v>
      </c>
      <c r="N36" s="79">
        <v>205.96</v>
      </c>
      <c r="O36" s="80">
        <v>0.38900000000000001</v>
      </c>
      <c r="P36" s="79">
        <v>5486</v>
      </c>
      <c r="Q36" s="79">
        <v>1503.38</v>
      </c>
      <c r="R36" s="79">
        <v>3.82</v>
      </c>
      <c r="S36" s="79">
        <v>108.88</v>
      </c>
      <c r="T36" s="79">
        <v>194.25</v>
      </c>
      <c r="U36" s="79">
        <v>85.37</v>
      </c>
      <c r="V36" s="80">
        <v>0.439</v>
      </c>
    </row>
    <row r="37" spans="1:22" x14ac:dyDescent="0.25">
      <c r="A37" s="24" t="s">
        <v>39</v>
      </c>
      <c r="B37" s="25" t="s">
        <v>80</v>
      </c>
      <c r="C37" s="68">
        <v>0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80">
        <v>0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80">
        <v>0</v>
      </c>
      <c r="P37" s="79">
        <v>0</v>
      </c>
      <c r="Q37" s="79">
        <v>0</v>
      </c>
      <c r="R37" s="79">
        <v>0</v>
      </c>
      <c r="S37" s="79">
        <v>0</v>
      </c>
      <c r="T37" s="79">
        <v>0</v>
      </c>
      <c r="U37" s="79">
        <v>0</v>
      </c>
      <c r="V37" s="80">
        <v>0</v>
      </c>
    </row>
    <row r="38" spans="1:22" x14ac:dyDescent="0.25">
      <c r="A38" s="26" t="s">
        <v>36</v>
      </c>
      <c r="B38" s="27" t="s">
        <v>81</v>
      </c>
      <c r="C38" s="73">
        <v>4.4451144516569867</v>
      </c>
      <c r="D38" s="36">
        <v>10408.68</v>
      </c>
      <c r="E38" s="36">
        <v>988.13</v>
      </c>
      <c r="F38" s="36">
        <v>2341.6</v>
      </c>
      <c r="G38" s="36">
        <v>3221.78</v>
      </c>
      <c r="H38" s="36">
        <v>880.18</v>
      </c>
      <c r="I38" s="85">
        <v>0.27300000000000002</v>
      </c>
      <c r="J38" s="36">
        <v>8657.49</v>
      </c>
      <c r="K38" s="36">
        <v>1085.07</v>
      </c>
      <c r="L38" s="36">
        <v>2022.66</v>
      </c>
      <c r="M38" s="36">
        <v>2905.75</v>
      </c>
      <c r="N38" s="36">
        <v>883.09</v>
      </c>
      <c r="O38" s="85">
        <v>0.30399999999999999</v>
      </c>
      <c r="P38" s="36">
        <v>56756</v>
      </c>
      <c r="Q38" s="36">
        <v>13035.29</v>
      </c>
      <c r="R38" s="36">
        <v>1460.4</v>
      </c>
      <c r="S38" s="36">
        <v>1594.72</v>
      </c>
      <c r="T38" s="36">
        <v>2174.7800000000002</v>
      </c>
      <c r="U38" s="36">
        <v>580.05999999999995</v>
      </c>
      <c r="V38" s="85">
        <v>0.26700000000000002</v>
      </c>
    </row>
    <row r="39" spans="1:22" x14ac:dyDescent="0.25">
      <c r="A39" s="26" t="s">
        <v>38</v>
      </c>
      <c r="B39" s="27" t="s">
        <v>81</v>
      </c>
      <c r="C39" s="73">
        <v>4.9027907714263064</v>
      </c>
      <c r="D39" s="36">
        <v>6183.89</v>
      </c>
      <c r="E39" s="36">
        <v>1838.25</v>
      </c>
      <c r="F39" s="36">
        <v>1261.3</v>
      </c>
      <c r="G39" s="36">
        <v>1817.77</v>
      </c>
      <c r="H39" s="36">
        <v>556.47</v>
      </c>
      <c r="I39" s="85">
        <v>0.30599999999999999</v>
      </c>
      <c r="J39" s="36">
        <v>9036.18</v>
      </c>
      <c r="K39" s="36">
        <v>2077.5500000000002</v>
      </c>
      <c r="L39" s="36">
        <v>561.46</v>
      </c>
      <c r="M39" s="36">
        <v>776.84</v>
      </c>
      <c r="N39" s="36">
        <v>215.38</v>
      </c>
      <c r="O39" s="85">
        <v>0.27700000000000002</v>
      </c>
      <c r="P39" s="36">
        <v>26869</v>
      </c>
      <c r="Q39" s="36">
        <v>9828.82</v>
      </c>
      <c r="R39" s="36">
        <v>1494.8</v>
      </c>
      <c r="S39" s="36">
        <v>2122.86</v>
      </c>
      <c r="T39" s="36">
        <v>3047.93</v>
      </c>
      <c r="U39" s="36">
        <v>925.07</v>
      </c>
      <c r="V39" s="85">
        <v>0.30399999999999999</v>
      </c>
    </row>
    <row r="40" spans="1:22" x14ac:dyDescent="0.25">
      <c r="A40" s="26" t="s">
        <v>39</v>
      </c>
      <c r="B40" s="27" t="s">
        <v>81</v>
      </c>
      <c r="C40" s="73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85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85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85">
        <v>0</v>
      </c>
    </row>
    <row r="41" spans="1:22" x14ac:dyDescent="0.25">
      <c r="A41" s="28" t="s">
        <v>36</v>
      </c>
      <c r="B41" s="29" t="s">
        <v>82</v>
      </c>
      <c r="C41" s="74"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86"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86">
        <v>0</v>
      </c>
      <c r="P41" s="37">
        <v>0</v>
      </c>
      <c r="Q41" s="37">
        <v>0</v>
      </c>
      <c r="R41" s="37">
        <v>0</v>
      </c>
      <c r="S41" s="37">
        <v>0</v>
      </c>
      <c r="T41" s="37">
        <v>0</v>
      </c>
      <c r="U41" s="37">
        <v>0</v>
      </c>
      <c r="V41" s="86">
        <v>0</v>
      </c>
    </row>
    <row r="42" spans="1:22" x14ac:dyDescent="0.25">
      <c r="A42" s="28" t="s">
        <v>38</v>
      </c>
      <c r="B42" s="29" t="s">
        <v>82</v>
      </c>
      <c r="C42" s="74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86">
        <v>0</v>
      </c>
      <c r="J42" s="37">
        <v>0</v>
      </c>
      <c r="K42" s="37">
        <v>0</v>
      </c>
      <c r="L42" s="37">
        <v>0</v>
      </c>
      <c r="M42" s="37">
        <v>0</v>
      </c>
      <c r="N42" s="37">
        <v>0</v>
      </c>
      <c r="O42" s="86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86">
        <v>0</v>
      </c>
    </row>
    <row r="43" spans="1:22" x14ac:dyDescent="0.25">
      <c r="A43" s="28" t="s">
        <v>39</v>
      </c>
      <c r="B43" s="29" t="s">
        <v>82</v>
      </c>
      <c r="C43" s="74">
        <v>0</v>
      </c>
      <c r="D43" s="37">
        <v>0</v>
      </c>
      <c r="E43" s="37">
        <v>0</v>
      </c>
      <c r="F43" s="37">
        <v>0</v>
      </c>
      <c r="G43" s="37">
        <v>0</v>
      </c>
      <c r="H43" s="37">
        <v>0</v>
      </c>
      <c r="I43" s="86">
        <v>0</v>
      </c>
      <c r="J43" s="37">
        <v>0</v>
      </c>
      <c r="K43" s="37">
        <v>0</v>
      </c>
      <c r="L43" s="37">
        <v>0</v>
      </c>
      <c r="M43" s="37">
        <v>0</v>
      </c>
      <c r="N43" s="37">
        <v>0</v>
      </c>
      <c r="O43" s="86">
        <v>0</v>
      </c>
      <c r="P43" s="37">
        <v>0</v>
      </c>
      <c r="Q43" s="37">
        <v>0</v>
      </c>
      <c r="R43" s="37">
        <v>0</v>
      </c>
      <c r="S43" s="37">
        <v>0</v>
      </c>
      <c r="T43" s="37">
        <v>0</v>
      </c>
      <c r="U43" s="37">
        <v>0</v>
      </c>
      <c r="V43" s="86">
        <v>0</v>
      </c>
    </row>
    <row r="44" spans="1:22" x14ac:dyDescent="0.25">
      <c r="A44" s="18" t="s">
        <v>36</v>
      </c>
      <c r="B44" s="19" t="s">
        <v>84</v>
      </c>
      <c r="C44" s="69" cm="1">
        <f t="array" ref="C44:V46">'HW - All'!C47:V49</f>
        <v>30.299873532068652</v>
      </c>
      <c r="D44" s="32">
        <v>16770.98</v>
      </c>
      <c r="E44" s="32">
        <v>-607.79</v>
      </c>
      <c r="F44" s="32">
        <v>553.5</v>
      </c>
      <c r="G44" s="32">
        <v>510.34</v>
      </c>
      <c r="H44" s="32">
        <v>-43.16</v>
      </c>
      <c r="I44" s="81">
        <v>-8.5000000000000006E-2</v>
      </c>
      <c r="J44" s="32">
        <v>14246.63</v>
      </c>
      <c r="K44" s="32">
        <v>550.70000000000005</v>
      </c>
      <c r="L44" s="32">
        <v>167.9</v>
      </c>
      <c r="M44" s="32">
        <v>323.11</v>
      </c>
      <c r="N44" s="32">
        <v>155.21</v>
      </c>
      <c r="O44" s="81">
        <v>0.48</v>
      </c>
      <c r="P44" s="32">
        <v>24636</v>
      </c>
      <c r="Q44" s="32">
        <v>16513.61</v>
      </c>
      <c r="R44" s="32">
        <v>731.47</v>
      </c>
      <c r="S44" s="32">
        <v>938.82</v>
      </c>
      <c r="T44" s="32">
        <v>1318.42</v>
      </c>
      <c r="U44" s="32">
        <v>379.6</v>
      </c>
      <c r="V44" s="81">
        <v>0.28799999999999998</v>
      </c>
    </row>
    <row r="45" spans="1:22" x14ac:dyDescent="0.25">
      <c r="A45" s="52" t="s">
        <v>38</v>
      </c>
      <c r="B45" s="19" t="s">
        <v>84</v>
      </c>
      <c r="C45" s="69">
        <v>7.4848213997264725</v>
      </c>
      <c r="D45" s="32">
        <v>6950.48</v>
      </c>
      <c r="E45" s="32">
        <v>1016.07</v>
      </c>
      <c r="F45" s="32">
        <v>928.61</v>
      </c>
      <c r="G45" s="32">
        <v>1090.49</v>
      </c>
      <c r="H45" s="32">
        <v>161.88</v>
      </c>
      <c r="I45" s="81">
        <v>0.14799999999999999</v>
      </c>
      <c r="J45" s="32">
        <v>3479.05</v>
      </c>
      <c r="K45" s="32">
        <v>4</v>
      </c>
      <c r="L45" s="32">
        <v>18.16</v>
      </c>
      <c r="M45" s="32">
        <v>54.96</v>
      </c>
      <c r="N45" s="32">
        <v>36.799999999999997</v>
      </c>
      <c r="O45" s="81">
        <v>0.67</v>
      </c>
      <c r="P45" s="32">
        <v>4379</v>
      </c>
      <c r="Q45" s="32">
        <v>6432.31</v>
      </c>
      <c r="R45" s="32">
        <v>0</v>
      </c>
      <c r="S45" s="32">
        <v>47.15</v>
      </c>
      <c r="T45" s="32">
        <v>74.95</v>
      </c>
      <c r="U45" s="32">
        <v>27.8</v>
      </c>
      <c r="V45" s="81">
        <v>0.371</v>
      </c>
    </row>
    <row r="46" spans="1:22" ht="15.75" thickBot="1" x14ac:dyDescent="0.3">
      <c r="A46" s="43" t="s">
        <v>39</v>
      </c>
      <c r="B46" s="53" t="s">
        <v>84</v>
      </c>
      <c r="C46" s="65" t="e">
        <v>#DIV/0!</v>
      </c>
      <c r="D46" s="75">
        <v>149.09</v>
      </c>
      <c r="E46" s="75">
        <v>0</v>
      </c>
      <c r="F46" s="75">
        <v>0</v>
      </c>
      <c r="G46" s="75">
        <v>0</v>
      </c>
      <c r="H46" s="75">
        <v>0</v>
      </c>
      <c r="I46" s="92">
        <v>0</v>
      </c>
      <c r="J46" s="75">
        <v>234.66</v>
      </c>
      <c r="K46" s="75">
        <v>30.31</v>
      </c>
      <c r="L46" s="75">
        <v>12.79</v>
      </c>
      <c r="M46" s="75">
        <v>16.48</v>
      </c>
      <c r="N46" s="75">
        <v>3.69</v>
      </c>
      <c r="O46" s="92">
        <v>0.224</v>
      </c>
      <c r="P46" s="75">
        <v>118</v>
      </c>
      <c r="Q46" s="75">
        <v>0</v>
      </c>
      <c r="R46" s="75">
        <v>0</v>
      </c>
      <c r="S46" s="75">
        <v>0</v>
      </c>
      <c r="T46" s="75">
        <v>0</v>
      </c>
      <c r="U46" s="75">
        <v>0</v>
      </c>
      <c r="V46" s="92">
        <v>0</v>
      </c>
    </row>
    <row r="47" spans="1:22" s="3" customFormat="1" ht="15.75" thickBot="1" x14ac:dyDescent="0.3">
      <c r="A47" s="2"/>
      <c r="B47" s="87" t="s">
        <v>49</v>
      </c>
      <c r="C47" s="89">
        <f>IF(D47=0,0,(D47/(F47/1)))</f>
        <v>6.5606321280953619</v>
      </c>
      <c r="D47" s="6">
        <f>SUM(D2:D46)</f>
        <v>760679.84000000008</v>
      </c>
      <c r="E47" s="6">
        <f>SUM(E2:E46)</f>
        <v>92400.990000000034</v>
      </c>
      <c r="F47" s="6">
        <f>SUM(F2:F46)</f>
        <v>115946.11999999998</v>
      </c>
      <c r="G47" s="6">
        <f>SUM(G2:G46)</f>
        <v>176802.34</v>
      </c>
      <c r="H47" s="63">
        <f>SUM(H2:H46)</f>
        <v>60856.220000000016</v>
      </c>
      <c r="I47" s="90">
        <f>IF(G47=0,0,(1-(F47/G47)))</f>
        <v>0.34420483348806363</v>
      </c>
      <c r="J47" s="63">
        <f t="shared" ref="J47:U47" si="0">SUM(J2:J46)</f>
        <v>718032.12999999989</v>
      </c>
      <c r="K47" s="63">
        <f t="shared" si="0"/>
        <v>103023.18</v>
      </c>
      <c r="L47" s="63">
        <f t="shared" si="0"/>
        <v>91930.079999999987</v>
      </c>
      <c r="M47" s="63">
        <f t="shared" si="0"/>
        <v>150479.55999999997</v>
      </c>
      <c r="N47" s="63">
        <f t="shared" si="0"/>
        <v>58549.48000000001</v>
      </c>
      <c r="O47" s="90">
        <f>IF(M47=0,0,(1-(L47/M47)))</f>
        <v>0.3890859329998041</v>
      </c>
      <c r="P47" s="63">
        <f t="shared" si="0"/>
        <v>2382944</v>
      </c>
      <c r="Q47" s="63">
        <f t="shared" si="0"/>
        <v>607649.26</v>
      </c>
      <c r="R47" s="63">
        <f t="shared" si="0"/>
        <v>92042.99</v>
      </c>
      <c r="S47" s="63">
        <f t="shared" si="0"/>
        <v>103161.59999999999</v>
      </c>
      <c r="T47" s="63">
        <f t="shared" si="0"/>
        <v>173101.11000000004</v>
      </c>
      <c r="U47" s="63">
        <f t="shared" si="0"/>
        <v>69939.510000000009</v>
      </c>
      <c r="V47" s="90">
        <f>IF(T47=0,0,(1-(S47/T47)))</f>
        <v>0.40403848363537376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D5A58-B6C6-4BB5-9EF9-7A99C6A30377}">
  <sheetPr codeName="Sheet11">
    <tabColor theme="9" tint="0.39997558519241921"/>
  </sheetPr>
  <dimension ref="A1:V5"/>
  <sheetViews>
    <sheetView zoomScale="85" zoomScaleNormal="85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41" t="s">
        <v>36</v>
      </c>
      <c r="B2" s="42" t="s">
        <v>83</v>
      </c>
      <c r="C2" s="67" cm="1">
        <f t="array" ref="C2:V4">'HW - All'!C44:V46</f>
        <v>2.8385432061016838</v>
      </c>
      <c r="D2" s="31">
        <v>8355.11</v>
      </c>
      <c r="E2" s="31">
        <v>3119.5</v>
      </c>
      <c r="F2" s="31">
        <v>2943.45</v>
      </c>
      <c r="G2" s="31">
        <v>3943.16</v>
      </c>
      <c r="H2" s="31">
        <v>999.71</v>
      </c>
      <c r="I2" s="91">
        <v>0.254</v>
      </c>
      <c r="J2" s="31">
        <v>71.930000000000007</v>
      </c>
      <c r="K2" s="31">
        <v>1656.91</v>
      </c>
      <c r="L2" s="31">
        <v>1785.12</v>
      </c>
      <c r="M2" s="31">
        <v>2655.52</v>
      </c>
      <c r="N2" s="31">
        <v>870.4</v>
      </c>
      <c r="O2" s="91">
        <v>0.32800000000000001</v>
      </c>
      <c r="P2" s="31">
        <v>208316</v>
      </c>
      <c r="Q2" s="31">
        <v>571.36</v>
      </c>
      <c r="R2" s="31">
        <v>5480.81</v>
      </c>
      <c r="S2" s="31">
        <v>4659.3</v>
      </c>
      <c r="T2" s="31">
        <v>7100.9</v>
      </c>
      <c r="U2" s="31">
        <v>2441.6</v>
      </c>
      <c r="V2" s="91">
        <v>0.34399999999999997</v>
      </c>
    </row>
    <row r="3" spans="1:22" x14ac:dyDescent="0.25">
      <c r="A3" s="41" t="s">
        <v>38</v>
      </c>
      <c r="B3" s="42" t="s">
        <v>83</v>
      </c>
      <c r="C3" s="67">
        <v>0.24918281887732566</v>
      </c>
      <c r="D3" s="31">
        <v>564.12</v>
      </c>
      <c r="E3" s="31">
        <v>2351.48</v>
      </c>
      <c r="F3" s="31">
        <v>2263.88</v>
      </c>
      <c r="G3" s="31">
        <v>2780.62</v>
      </c>
      <c r="H3" s="31">
        <v>516.74</v>
      </c>
      <c r="I3" s="91">
        <v>0.186</v>
      </c>
      <c r="J3" s="31">
        <v>346.14</v>
      </c>
      <c r="K3" s="31">
        <v>1838.6</v>
      </c>
      <c r="L3" s="31">
        <v>1614.36</v>
      </c>
      <c r="M3" s="31">
        <v>2364.2800000000002</v>
      </c>
      <c r="N3" s="31">
        <v>749.92</v>
      </c>
      <c r="O3" s="91">
        <v>0.317</v>
      </c>
      <c r="P3" s="31">
        <v>28807</v>
      </c>
      <c r="Q3" s="31">
        <v>668.93</v>
      </c>
      <c r="R3" s="31">
        <v>3292.87</v>
      </c>
      <c r="S3" s="31">
        <v>2863.99</v>
      </c>
      <c r="T3" s="31">
        <v>3466.33</v>
      </c>
      <c r="U3" s="31">
        <v>602.34</v>
      </c>
      <c r="V3" s="91">
        <v>0.17399999999999999</v>
      </c>
    </row>
    <row r="4" spans="1:22" ht="15.75" thickBot="1" x14ac:dyDescent="0.3">
      <c r="A4" s="41" t="s">
        <v>39</v>
      </c>
      <c r="B4" s="42" t="s">
        <v>83</v>
      </c>
      <c r="C4" s="67">
        <v>0</v>
      </c>
      <c r="D4" s="31">
        <v>0</v>
      </c>
      <c r="E4" s="31">
        <v>0</v>
      </c>
      <c r="F4" s="31">
        <v>0</v>
      </c>
      <c r="G4" s="31">
        <v>0</v>
      </c>
      <c r="H4" s="31">
        <v>0</v>
      </c>
      <c r="I4" s="91">
        <v>0</v>
      </c>
      <c r="J4" s="31">
        <v>0</v>
      </c>
      <c r="K4" s="31">
        <v>0</v>
      </c>
      <c r="L4" s="31">
        <v>0</v>
      </c>
      <c r="M4" s="31">
        <v>0</v>
      </c>
      <c r="N4" s="31">
        <v>0</v>
      </c>
      <c r="O4" s="91">
        <v>0</v>
      </c>
      <c r="P4" s="31">
        <v>0</v>
      </c>
      <c r="Q4" s="31">
        <v>0</v>
      </c>
      <c r="R4" s="31">
        <v>0</v>
      </c>
      <c r="S4" s="31">
        <v>0</v>
      </c>
      <c r="T4" s="31">
        <v>0</v>
      </c>
      <c r="U4" s="31">
        <v>0</v>
      </c>
      <c r="V4" s="91">
        <v>0</v>
      </c>
    </row>
    <row r="5" spans="1:22" s="3" customFormat="1" ht="15.75" thickBot="1" x14ac:dyDescent="0.3">
      <c r="A5" s="2"/>
      <c r="B5" s="87" t="s">
        <v>49</v>
      </c>
      <c r="C5" s="89">
        <f>IF(D5=0,0,(D5/(F5/1)))</f>
        <v>1.712822118052822</v>
      </c>
      <c r="D5" s="6">
        <f>SUM(D2:D4)</f>
        <v>8919.2300000000014</v>
      </c>
      <c r="E5" s="6">
        <f>SUM(E2:E4)</f>
        <v>5470.98</v>
      </c>
      <c r="F5" s="6">
        <f>SUM(F2:F4)</f>
        <v>5207.33</v>
      </c>
      <c r="G5" s="6">
        <f>SUM(G2:G4)</f>
        <v>6723.78</v>
      </c>
      <c r="H5" s="63">
        <f>SUM(H2:H4)</f>
        <v>1516.45</v>
      </c>
      <c r="I5" s="90">
        <f>IF(G5=0,0,(1-(F5/G5)))</f>
        <v>0.22553533875290388</v>
      </c>
      <c r="J5" s="63">
        <f>SUM(J2:J4)</f>
        <v>418.07</v>
      </c>
      <c r="K5" s="63">
        <f>SUM(K2:K4)</f>
        <v>3495.51</v>
      </c>
      <c r="L5" s="63">
        <f>SUM(L2:L4)</f>
        <v>3399.4799999999996</v>
      </c>
      <c r="M5" s="63">
        <f>SUM(M2:M4)</f>
        <v>5019.8</v>
      </c>
      <c r="N5" s="63">
        <f>SUM(N2:N4)</f>
        <v>1620.32</v>
      </c>
      <c r="O5" s="90">
        <f>IF(M5=0,0,(1-(L5/M5)))</f>
        <v>0.32278576835730521</v>
      </c>
      <c r="P5" s="63">
        <f t="shared" ref="P5:U5" si="0">SUM(P2:P4)</f>
        <v>237123</v>
      </c>
      <c r="Q5" s="63">
        <f t="shared" si="0"/>
        <v>1240.29</v>
      </c>
      <c r="R5" s="63">
        <f t="shared" si="0"/>
        <v>8773.68</v>
      </c>
      <c r="S5" s="63">
        <f t="shared" si="0"/>
        <v>7523.29</v>
      </c>
      <c r="T5" s="63">
        <f t="shared" si="0"/>
        <v>10567.23</v>
      </c>
      <c r="U5" s="63">
        <f t="shared" si="0"/>
        <v>3043.94</v>
      </c>
      <c r="V5" s="90">
        <f>IF(T5=0,0,(1-(S5/T5)))</f>
        <v>0.28805467468769008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B1149-2CF6-488D-BC9A-15D983EF10EC}">
  <sheetPr codeName="Sheet12">
    <tabColor theme="9" tint="-0.249977111117893"/>
    <pageSetUpPr fitToPage="1"/>
  </sheetPr>
  <dimension ref="A1:V17"/>
  <sheetViews>
    <sheetView zoomScale="90" zoomScaleNormal="90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9.140625" style="78" bestFit="1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10.14062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85</v>
      </c>
      <c r="C2" s="68">
        <f>IF(D2=0,0,(D2/(F2/1)))</f>
        <v>3.6457149162762734</v>
      </c>
      <c r="D2" s="79">
        <v>236553.78</v>
      </c>
      <c r="E2" s="79">
        <v>62966.03</v>
      </c>
      <c r="F2" s="79">
        <v>64885.43</v>
      </c>
      <c r="G2" s="79">
        <v>89423.64</v>
      </c>
      <c r="H2" s="79">
        <v>24538.21</v>
      </c>
      <c r="I2" s="80">
        <f>IF(G2=0,0,ROUND((1-F2/G2),3))</f>
        <v>0.27400000000000002</v>
      </c>
      <c r="J2" s="79">
        <v>245036.22</v>
      </c>
      <c r="K2" s="79">
        <v>59710.64</v>
      </c>
      <c r="L2" s="79">
        <v>65756.88</v>
      </c>
      <c r="M2" s="79">
        <v>90329.47</v>
      </c>
      <c r="N2" s="79">
        <v>24572.59</v>
      </c>
      <c r="O2" s="80">
        <f>IF(M2=0,0,ROUND((1-L2/M2),3))</f>
        <v>0.27200000000000002</v>
      </c>
      <c r="P2" s="79">
        <v>1331588</v>
      </c>
      <c r="Q2" s="79">
        <v>223706.26</v>
      </c>
      <c r="R2" s="79">
        <v>63013.64</v>
      </c>
      <c r="S2" s="79">
        <v>56034.45</v>
      </c>
      <c r="T2" s="79">
        <v>78738.960000000006</v>
      </c>
      <c r="U2" s="79">
        <v>22704.51</v>
      </c>
      <c r="V2" s="80">
        <f>IF(T2=0,0,ROUND((1-S2/T2),3))</f>
        <v>0.28799999999999998</v>
      </c>
    </row>
    <row r="3" spans="1:22" x14ac:dyDescent="0.25">
      <c r="A3" s="16" t="s">
        <v>38</v>
      </c>
      <c r="B3" s="17" t="s">
        <v>85</v>
      </c>
      <c r="C3" s="68">
        <f t="shared" ref="C3:C12" si="0">IF(D3=0,0,(D3/(F3/1)))</f>
        <v>6.8361381302691226</v>
      </c>
      <c r="D3" s="79">
        <v>14765.99</v>
      </c>
      <c r="E3" s="79">
        <v>1877.68</v>
      </c>
      <c r="F3" s="79">
        <v>2159.9899999999998</v>
      </c>
      <c r="G3" s="79">
        <v>3326.65</v>
      </c>
      <c r="H3" s="79">
        <v>1166.6600000000001</v>
      </c>
      <c r="I3" s="80">
        <f t="shared" ref="I3:I12" si="1">IF(G3=0,0,ROUND((1-F3/G3),3))</f>
        <v>0.35099999999999998</v>
      </c>
      <c r="J3" s="79">
        <v>24031.93</v>
      </c>
      <c r="K3" s="79">
        <v>1112.04</v>
      </c>
      <c r="L3" s="79">
        <v>1773.19</v>
      </c>
      <c r="M3" s="79">
        <v>2908.8</v>
      </c>
      <c r="N3" s="79">
        <v>1135.6099999999999</v>
      </c>
      <c r="O3" s="80">
        <f t="shared" ref="O3:O12" si="2">IF(M3=0,0,ROUND((1-L3/M3),3))</f>
        <v>0.39</v>
      </c>
      <c r="P3" s="79">
        <v>43142</v>
      </c>
      <c r="Q3" s="79">
        <v>68740.77</v>
      </c>
      <c r="R3" s="79">
        <v>2360.9699999999998</v>
      </c>
      <c r="S3" s="79">
        <v>5949.47</v>
      </c>
      <c r="T3" s="79">
        <v>8724.06</v>
      </c>
      <c r="U3" s="79">
        <v>2774.59</v>
      </c>
      <c r="V3" s="80">
        <f t="shared" ref="V3:V12" si="3">IF(T3=0,0,ROUND((1-S3/T3),3))</f>
        <v>0.318</v>
      </c>
    </row>
    <row r="4" spans="1:22" x14ac:dyDescent="0.25">
      <c r="A4" s="16" t="s">
        <v>39</v>
      </c>
      <c r="B4" s="17" t="s">
        <v>85</v>
      </c>
      <c r="C4" s="68">
        <f t="shared" si="0"/>
        <v>7.6058488068765602</v>
      </c>
      <c r="D4" s="79">
        <v>102748.02</v>
      </c>
      <c r="E4" s="79">
        <v>9092.4699999999993</v>
      </c>
      <c r="F4" s="79">
        <v>13509.08</v>
      </c>
      <c r="G4" s="79">
        <v>17859.61</v>
      </c>
      <c r="H4" s="79">
        <v>4350.53</v>
      </c>
      <c r="I4" s="80">
        <f t="shared" si="1"/>
        <v>0.24399999999999999</v>
      </c>
      <c r="J4" s="79">
        <v>104386.48</v>
      </c>
      <c r="K4" s="79">
        <v>15925.91</v>
      </c>
      <c r="L4" s="79">
        <v>12701.75</v>
      </c>
      <c r="M4" s="79">
        <v>17507.2</v>
      </c>
      <c r="N4" s="79">
        <v>4805.45</v>
      </c>
      <c r="O4" s="80">
        <f t="shared" si="2"/>
        <v>0.27400000000000002</v>
      </c>
      <c r="P4" s="79">
        <v>249124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36</v>
      </c>
      <c r="B5" s="19" t="s">
        <v>86</v>
      </c>
      <c r="C5" s="69">
        <f t="shared" si="0"/>
        <v>1.3145290463726218</v>
      </c>
      <c r="D5" s="32">
        <v>1345.92</v>
      </c>
      <c r="E5" s="32">
        <v>639.78</v>
      </c>
      <c r="F5" s="32">
        <v>1023.88</v>
      </c>
      <c r="G5" s="32">
        <v>1201.97</v>
      </c>
      <c r="H5" s="32">
        <v>178.09</v>
      </c>
      <c r="I5" s="81">
        <f t="shared" ref="I5:I7" si="4">IF(G5=0,0,ROUND((1-F5/G5),3))</f>
        <v>0.14799999999999999</v>
      </c>
      <c r="J5" s="32">
        <v>1194.08</v>
      </c>
      <c r="K5" s="32">
        <v>5269.58</v>
      </c>
      <c r="L5" s="32">
        <v>4216.41</v>
      </c>
      <c r="M5" s="32">
        <v>5101.87</v>
      </c>
      <c r="N5" s="32">
        <v>885.46</v>
      </c>
      <c r="O5" s="81">
        <f t="shared" ref="O5:O7" si="5">IF(M5=0,0,ROUND((1-L5/M5),3))</f>
        <v>0.17399999999999999</v>
      </c>
      <c r="P5" s="32">
        <v>141173</v>
      </c>
      <c r="Q5" s="32">
        <v>0</v>
      </c>
      <c r="R5" s="32">
        <v>12867.99</v>
      </c>
      <c r="S5" s="32">
        <v>12867.99</v>
      </c>
      <c r="T5" s="32">
        <v>16898.91</v>
      </c>
      <c r="U5" s="32">
        <v>4030.92</v>
      </c>
      <c r="V5" s="81">
        <f t="shared" ref="V5:V7" si="6">IF(T5=0,0,ROUND((1-S5/T5),3))</f>
        <v>0.23899999999999999</v>
      </c>
    </row>
    <row r="6" spans="1:22" x14ac:dyDescent="0.25">
      <c r="A6" s="18" t="s">
        <v>38</v>
      </c>
      <c r="B6" s="19" t="s">
        <v>86</v>
      </c>
      <c r="C6" s="69">
        <f t="shared" si="0"/>
        <v>0</v>
      </c>
      <c r="D6" s="32">
        <v>0</v>
      </c>
      <c r="E6" s="32">
        <v>0</v>
      </c>
      <c r="F6" s="32">
        <v>0</v>
      </c>
      <c r="G6" s="32">
        <v>0</v>
      </c>
      <c r="H6" s="32">
        <v>0</v>
      </c>
      <c r="I6" s="81">
        <f t="shared" si="4"/>
        <v>0</v>
      </c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81">
        <f t="shared" si="5"/>
        <v>0</v>
      </c>
      <c r="P6" s="32">
        <v>0</v>
      </c>
      <c r="Q6" s="32">
        <v>0</v>
      </c>
      <c r="R6" s="32">
        <v>0</v>
      </c>
      <c r="S6" s="32">
        <v>0</v>
      </c>
      <c r="T6" s="32">
        <v>0</v>
      </c>
      <c r="U6" s="32">
        <v>0</v>
      </c>
      <c r="V6" s="81">
        <f t="shared" si="6"/>
        <v>0</v>
      </c>
    </row>
    <row r="7" spans="1:22" x14ac:dyDescent="0.25">
      <c r="A7" s="18" t="s">
        <v>39</v>
      </c>
      <c r="B7" s="19" t="s">
        <v>86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4"/>
        <v>0</v>
      </c>
      <c r="J7" s="32">
        <v>-215.72</v>
      </c>
      <c r="K7" s="32">
        <v>0</v>
      </c>
      <c r="L7" s="32">
        <v>0</v>
      </c>
      <c r="M7" s="32">
        <v>0</v>
      </c>
      <c r="N7" s="32">
        <v>0</v>
      </c>
      <c r="O7" s="81">
        <f t="shared" si="5"/>
        <v>0</v>
      </c>
      <c r="P7" s="32">
        <v>600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6"/>
        <v>0</v>
      </c>
    </row>
    <row r="8" spans="1:22" x14ac:dyDescent="0.25">
      <c r="A8" s="20" t="s">
        <v>36</v>
      </c>
      <c r="B8" s="21" t="s">
        <v>128</v>
      </c>
      <c r="C8" s="70">
        <f t="shared" si="0"/>
        <v>18.59774856062559</v>
      </c>
      <c r="D8" s="33">
        <v>4328.4399999999996</v>
      </c>
      <c r="E8" s="33">
        <v>274.91000000000003</v>
      </c>
      <c r="F8" s="33">
        <v>232.74</v>
      </c>
      <c r="G8" s="33">
        <v>365.33</v>
      </c>
      <c r="H8" s="33">
        <v>132.59</v>
      </c>
      <c r="I8" s="82">
        <f t="shared" si="1"/>
        <v>0.36299999999999999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82">
        <f t="shared" si="2"/>
        <v>0</v>
      </c>
      <c r="P8" s="33">
        <v>35948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82">
        <f t="shared" si="3"/>
        <v>0</v>
      </c>
    </row>
    <row r="9" spans="1:22" x14ac:dyDescent="0.25">
      <c r="A9" s="20" t="s">
        <v>38</v>
      </c>
      <c r="B9" s="21" t="s">
        <v>128</v>
      </c>
      <c r="C9" s="70">
        <f t="shared" si="0"/>
        <v>152.84824902723736</v>
      </c>
      <c r="D9" s="33">
        <v>392.82</v>
      </c>
      <c r="E9" s="33">
        <v>86.73</v>
      </c>
      <c r="F9" s="33">
        <v>2.57</v>
      </c>
      <c r="G9" s="33">
        <v>5.94</v>
      </c>
      <c r="H9" s="33">
        <v>3.37</v>
      </c>
      <c r="I9" s="82">
        <f t="shared" si="1"/>
        <v>0.56699999999999995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82">
        <f t="shared" si="2"/>
        <v>0</v>
      </c>
      <c r="P9" s="33">
        <v>406</v>
      </c>
      <c r="Q9" s="33">
        <v>46.4</v>
      </c>
      <c r="R9" s="33">
        <v>0</v>
      </c>
      <c r="S9" s="33">
        <v>0</v>
      </c>
      <c r="T9" s="33">
        <v>0</v>
      </c>
      <c r="U9" s="33">
        <v>0</v>
      </c>
      <c r="V9" s="82">
        <f t="shared" si="3"/>
        <v>0</v>
      </c>
    </row>
    <row r="10" spans="1:22" ht="15.75" thickBot="1" x14ac:dyDescent="0.3">
      <c r="A10" s="20" t="s">
        <v>39</v>
      </c>
      <c r="B10" s="21" t="s">
        <v>128</v>
      </c>
      <c r="C10" s="70">
        <f t="shared" si="0"/>
        <v>46.070833333333333</v>
      </c>
      <c r="D10" s="33">
        <v>1326.84</v>
      </c>
      <c r="E10" s="33">
        <v>0</v>
      </c>
      <c r="F10" s="33">
        <v>28.8</v>
      </c>
      <c r="G10" s="33">
        <v>47.05</v>
      </c>
      <c r="H10" s="33">
        <v>18.25</v>
      </c>
      <c r="I10" s="82">
        <f t="shared" si="1"/>
        <v>0.38800000000000001</v>
      </c>
      <c r="J10" s="33">
        <v>21.72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3094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s="3" customFormat="1" ht="15.75" thickBot="1" x14ac:dyDescent="0.3">
      <c r="A11" s="2"/>
      <c r="B11" s="87" t="s">
        <v>49</v>
      </c>
      <c r="C11" s="89">
        <f t="shared" si="0"/>
        <v>4.4165544083519439</v>
      </c>
      <c r="D11" s="6">
        <f>SUM(D2:D10)</f>
        <v>361461.81</v>
      </c>
      <c r="E11" s="6">
        <f>SUM(E2:E10)</f>
        <v>74937.599999999991</v>
      </c>
      <c r="F11" s="6">
        <f>SUM(F2:F10)</f>
        <v>81842.49000000002</v>
      </c>
      <c r="G11" s="6">
        <f>SUM(G2:G10)</f>
        <v>112230.19</v>
      </c>
      <c r="H11" s="63">
        <f>SUM(H2:H10)</f>
        <v>30387.699999999997</v>
      </c>
      <c r="I11" s="90">
        <f t="shared" si="1"/>
        <v>0.27100000000000002</v>
      </c>
      <c r="J11" s="63">
        <f>SUM(J2:J10)</f>
        <v>374454.71</v>
      </c>
      <c r="K11" s="63">
        <f>SUM(K2:K10)</f>
        <v>82018.17</v>
      </c>
      <c r="L11" s="63">
        <f>SUM(L2:L10)</f>
        <v>84448.23000000001</v>
      </c>
      <c r="M11" s="63">
        <f>SUM(M2:M10)</f>
        <v>115847.34</v>
      </c>
      <c r="N11" s="63">
        <f>SUM(N2:N10)</f>
        <v>31399.11</v>
      </c>
      <c r="O11" s="90">
        <f t="shared" si="2"/>
        <v>0.27100000000000002</v>
      </c>
      <c r="P11" s="63">
        <f t="shared" ref="P11:U11" si="7">SUM(P2:P10)</f>
        <v>1805075</v>
      </c>
      <c r="Q11" s="63">
        <f t="shared" si="7"/>
        <v>292493.43000000005</v>
      </c>
      <c r="R11" s="63">
        <f t="shared" si="7"/>
        <v>78242.600000000006</v>
      </c>
      <c r="S11" s="63">
        <f t="shared" si="7"/>
        <v>74851.91</v>
      </c>
      <c r="T11" s="63">
        <f t="shared" si="7"/>
        <v>104361.93000000001</v>
      </c>
      <c r="U11" s="63">
        <f t="shared" si="7"/>
        <v>29510.019999999997</v>
      </c>
      <c r="V11" s="90">
        <f t="shared" si="3"/>
        <v>0.28299999999999997</v>
      </c>
    </row>
    <row r="12" spans="1:22" s="3" customFormat="1" ht="15.75" thickBot="1" x14ac:dyDescent="0.3">
      <c r="A12" s="2"/>
      <c r="B12" s="87" t="s">
        <v>126</v>
      </c>
      <c r="C12" s="89">
        <f t="shared" si="0"/>
        <v>4.577560038225081</v>
      </c>
      <c r="D12" s="6">
        <f>D11</f>
        <v>361461.81</v>
      </c>
      <c r="E12" s="6">
        <f>E11-C15</f>
        <v>72058.969999999987</v>
      </c>
      <c r="F12" s="6">
        <f>F11-C15</f>
        <v>78963.860000000015</v>
      </c>
      <c r="G12" s="6">
        <f>G11</f>
        <v>112230.19</v>
      </c>
      <c r="H12" s="63">
        <f>H11+C15</f>
        <v>33266.329999999994</v>
      </c>
      <c r="I12" s="90">
        <f t="shared" si="1"/>
        <v>0.29599999999999999</v>
      </c>
      <c r="J12" s="63">
        <f>J11</f>
        <v>374454.71</v>
      </c>
      <c r="K12" s="63">
        <f>K11-C16</f>
        <v>38396.049999999996</v>
      </c>
      <c r="L12" s="63">
        <f>L11-C16</f>
        <v>40826.110000000008</v>
      </c>
      <c r="M12" s="63">
        <f>M11</f>
        <v>115847.34</v>
      </c>
      <c r="N12" s="63">
        <f>N11+C16</f>
        <v>75021.23000000001</v>
      </c>
      <c r="O12" s="90">
        <f t="shared" si="2"/>
        <v>0.64800000000000002</v>
      </c>
      <c r="P12" s="63">
        <f t="shared" ref="P12:T12" si="8">P11</f>
        <v>1805075</v>
      </c>
      <c r="Q12" s="63">
        <f t="shared" si="8"/>
        <v>292493.43000000005</v>
      </c>
      <c r="R12" s="63">
        <f>R11-C17</f>
        <v>75370.97</v>
      </c>
      <c r="S12" s="63">
        <f>S11-C17</f>
        <v>71980.28</v>
      </c>
      <c r="T12" s="63">
        <f t="shared" si="8"/>
        <v>104361.93000000001</v>
      </c>
      <c r="U12" s="63">
        <f>U11+C17</f>
        <v>32381.649999999998</v>
      </c>
      <c r="V12" s="90">
        <f t="shared" si="3"/>
        <v>0.31</v>
      </c>
    </row>
    <row r="13" spans="1:22" ht="15.75" thickBot="1" x14ac:dyDescent="0.3">
      <c r="B13" s="2"/>
      <c r="D13" s="2"/>
      <c r="E13" s="2"/>
      <c r="F13" s="2"/>
      <c r="G13" s="2"/>
      <c r="H13" s="2"/>
      <c r="I13" s="145"/>
      <c r="J13" s="3"/>
      <c r="K13" s="3"/>
      <c r="L13" s="3"/>
      <c r="M13" s="3"/>
      <c r="N13" s="3"/>
      <c r="O13" s="145"/>
    </row>
    <row r="14" spans="1:22" ht="15.75" thickBot="1" x14ac:dyDescent="0.3">
      <c r="B14" s="146" t="s">
        <v>112</v>
      </c>
      <c r="C14" s="148" t="s">
        <v>113</v>
      </c>
      <c r="D14" s="148" t="s">
        <v>114</v>
      </c>
      <c r="E14" s="149" t="s">
        <v>115</v>
      </c>
      <c r="F14" s="149" t="s">
        <v>116</v>
      </c>
      <c r="G14" s="149" t="s">
        <v>117</v>
      </c>
      <c r="H14" s="149" t="s">
        <v>118</v>
      </c>
      <c r="I14" s="149" t="s">
        <v>119</v>
      </c>
      <c r="J14" s="150" t="s">
        <v>120</v>
      </c>
      <c r="K14" s="149" t="s">
        <v>121</v>
      </c>
      <c r="L14" s="149" t="s">
        <v>123</v>
      </c>
      <c r="M14" s="149" t="s">
        <v>124</v>
      </c>
      <c r="N14" s="149" t="s">
        <v>125</v>
      </c>
      <c r="O14" s="149" t="s">
        <v>122</v>
      </c>
    </row>
    <row r="15" spans="1:22" ht="15.75" thickBot="1" x14ac:dyDescent="0.3">
      <c r="B15" s="147">
        <v>2026</v>
      </c>
      <c r="C15" s="151">
        <f>SUM(D15:O15)</f>
        <v>2878.63</v>
      </c>
      <c r="D15" s="153">
        <v>2878.63</v>
      </c>
      <c r="E15" s="153">
        <v>0</v>
      </c>
      <c r="F15" s="153">
        <v>0</v>
      </c>
      <c r="G15" s="153">
        <v>0</v>
      </c>
      <c r="H15" s="153">
        <v>0</v>
      </c>
      <c r="I15" s="154">
        <v>0</v>
      </c>
      <c r="J15" s="155">
        <v>0</v>
      </c>
      <c r="K15" s="155">
        <v>0</v>
      </c>
      <c r="L15" s="155">
        <v>0</v>
      </c>
      <c r="M15" s="155">
        <v>0</v>
      </c>
      <c r="N15" s="155">
        <v>0</v>
      </c>
      <c r="O15" s="156">
        <v>0</v>
      </c>
    </row>
    <row r="16" spans="1:22" ht="15.75" thickBot="1" x14ac:dyDescent="0.3">
      <c r="B16" s="147">
        <v>2025</v>
      </c>
      <c r="C16" s="151">
        <f>SUM(D16:O16)</f>
        <v>43622.12</v>
      </c>
      <c r="D16" s="153">
        <v>3204.21</v>
      </c>
      <c r="E16" s="153">
        <v>3059.35</v>
      </c>
      <c r="F16" s="153">
        <v>5109.17</v>
      </c>
      <c r="G16" s="153">
        <v>4405.55</v>
      </c>
      <c r="H16" s="153">
        <v>6236.56</v>
      </c>
      <c r="I16" s="154">
        <v>3639.89</v>
      </c>
      <c r="J16" s="155">
        <v>3170.21</v>
      </c>
      <c r="K16" s="155">
        <v>2362.4</v>
      </c>
      <c r="L16" s="155">
        <v>3052.26</v>
      </c>
      <c r="M16" s="155">
        <v>3178.87</v>
      </c>
      <c r="N16" s="155">
        <v>3287.47</v>
      </c>
      <c r="O16" s="156">
        <v>2916.18</v>
      </c>
    </row>
    <row r="17" spans="2:15" ht="15.75" thickBot="1" x14ac:dyDescent="0.3">
      <c r="B17" s="147">
        <v>2024</v>
      </c>
      <c r="C17" s="152">
        <f>SUM(D17:O17)</f>
        <v>2871.63</v>
      </c>
      <c r="D17" s="157">
        <v>0</v>
      </c>
      <c r="E17" s="157">
        <v>0</v>
      </c>
      <c r="F17" s="157">
        <v>0</v>
      </c>
      <c r="G17" s="157">
        <v>0</v>
      </c>
      <c r="H17" s="157">
        <v>0</v>
      </c>
      <c r="I17" s="158">
        <v>0</v>
      </c>
      <c r="J17" s="159">
        <v>0</v>
      </c>
      <c r="K17" s="159">
        <v>0</v>
      </c>
      <c r="L17" s="159">
        <v>0</v>
      </c>
      <c r="M17" s="159">
        <v>0</v>
      </c>
      <c r="N17" s="159">
        <v>0</v>
      </c>
      <c r="O17" s="160">
        <v>2871.63</v>
      </c>
    </row>
  </sheetData>
  <pageMargins left="0.25" right="0.25" top="0.75" bottom="0.75" header="0.3" footer="0.3"/>
  <pageSetup scale="5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F9268-0C26-43E5-A0A7-E68CA31121B6}">
  <sheetPr codeName="Sheet13">
    <tabColor theme="9" tint="-0.249977111117893"/>
  </sheetPr>
  <dimension ref="A1:V8"/>
  <sheetViews>
    <sheetView zoomScale="85" zoomScaleNormal="85" workbookViewId="0">
      <selection activeCell="C9" sqref="C9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85</v>
      </c>
      <c r="C2" s="68" cm="1">
        <f t="array" ref="C2:V4">'P - All'!C2:V4</f>
        <v>3.6457149162762734</v>
      </c>
      <c r="D2" s="79">
        <v>236553.78</v>
      </c>
      <c r="E2" s="79">
        <v>62966.03</v>
      </c>
      <c r="F2" s="79">
        <v>64885.43</v>
      </c>
      <c r="G2" s="79">
        <v>89423.64</v>
      </c>
      <c r="H2" s="79">
        <v>24538.21</v>
      </c>
      <c r="I2" s="80">
        <v>0.27400000000000002</v>
      </c>
      <c r="J2" s="79">
        <v>245036.22</v>
      </c>
      <c r="K2" s="79">
        <v>59710.64</v>
      </c>
      <c r="L2" s="79">
        <v>65756.88</v>
      </c>
      <c r="M2" s="79">
        <v>90329.47</v>
      </c>
      <c r="N2" s="79">
        <v>24572.59</v>
      </c>
      <c r="O2" s="80">
        <v>0.27200000000000002</v>
      </c>
      <c r="P2" s="79">
        <v>1331588</v>
      </c>
      <c r="Q2" s="79">
        <v>223706.26</v>
      </c>
      <c r="R2" s="79">
        <v>63013.64</v>
      </c>
      <c r="S2" s="79">
        <v>56034.45</v>
      </c>
      <c r="T2" s="79">
        <v>78738.960000000006</v>
      </c>
      <c r="U2" s="79">
        <v>22704.51</v>
      </c>
      <c r="V2" s="80">
        <v>0.28799999999999998</v>
      </c>
    </row>
    <row r="3" spans="1:22" x14ac:dyDescent="0.25">
      <c r="A3" s="16" t="s">
        <v>38</v>
      </c>
      <c r="B3" s="17" t="s">
        <v>85</v>
      </c>
      <c r="C3" s="68">
        <v>6.8361381302691226</v>
      </c>
      <c r="D3" s="79">
        <v>14765.99</v>
      </c>
      <c r="E3" s="79">
        <v>1877.68</v>
      </c>
      <c r="F3" s="79">
        <v>2159.9899999999998</v>
      </c>
      <c r="G3" s="79">
        <v>3326.65</v>
      </c>
      <c r="H3" s="79">
        <v>1166.6600000000001</v>
      </c>
      <c r="I3" s="80">
        <v>0.35099999999999998</v>
      </c>
      <c r="J3" s="79">
        <v>24031.93</v>
      </c>
      <c r="K3" s="79">
        <v>1112.04</v>
      </c>
      <c r="L3" s="79">
        <v>1773.19</v>
      </c>
      <c r="M3" s="79">
        <v>2908.8</v>
      </c>
      <c r="N3" s="79">
        <v>1135.6099999999999</v>
      </c>
      <c r="O3" s="80">
        <v>0.39</v>
      </c>
      <c r="P3" s="79">
        <v>43142</v>
      </c>
      <c r="Q3" s="79">
        <v>68740.77</v>
      </c>
      <c r="R3" s="79">
        <v>2360.9699999999998</v>
      </c>
      <c r="S3" s="79">
        <v>5949.47</v>
      </c>
      <c r="T3" s="79">
        <v>8724.06</v>
      </c>
      <c r="U3" s="79">
        <v>2774.59</v>
      </c>
      <c r="V3" s="80">
        <v>0.318</v>
      </c>
    </row>
    <row r="4" spans="1:22" x14ac:dyDescent="0.25">
      <c r="A4" s="16" t="s">
        <v>39</v>
      </c>
      <c r="B4" s="17" t="s">
        <v>85</v>
      </c>
      <c r="C4" s="68">
        <v>7.6058488068765602</v>
      </c>
      <c r="D4" s="79">
        <v>102748.02</v>
      </c>
      <c r="E4" s="79">
        <v>9092.4699999999993</v>
      </c>
      <c r="F4" s="79">
        <v>13509.08</v>
      </c>
      <c r="G4" s="79">
        <v>17859.61</v>
      </c>
      <c r="H4" s="79">
        <v>4350.53</v>
      </c>
      <c r="I4" s="80">
        <v>0.24399999999999999</v>
      </c>
      <c r="J4" s="79">
        <v>104386.48</v>
      </c>
      <c r="K4" s="79">
        <v>15925.91</v>
      </c>
      <c r="L4" s="79">
        <v>12701.75</v>
      </c>
      <c r="M4" s="79">
        <v>17507.2</v>
      </c>
      <c r="N4" s="79">
        <v>4805.45</v>
      </c>
      <c r="O4" s="80">
        <v>0.27400000000000002</v>
      </c>
      <c r="P4" s="79">
        <v>249124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61" t="s">
        <v>36</v>
      </c>
      <c r="B5" s="21" t="s">
        <v>128</v>
      </c>
      <c r="C5" s="70" cm="1">
        <f t="array" ref="C5:V7">'P - All'!C8:V10</f>
        <v>18.59774856062559</v>
      </c>
      <c r="D5" s="33">
        <v>4328.4399999999996</v>
      </c>
      <c r="E5" s="33">
        <v>274.91000000000003</v>
      </c>
      <c r="F5" s="33">
        <v>232.74</v>
      </c>
      <c r="G5" s="33">
        <v>365.33</v>
      </c>
      <c r="H5" s="33">
        <v>132.59</v>
      </c>
      <c r="I5" s="82">
        <v>0.36299999999999999</v>
      </c>
      <c r="J5" s="33">
        <v>0</v>
      </c>
      <c r="K5" s="33">
        <v>0</v>
      </c>
      <c r="L5" s="33">
        <v>0</v>
      </c>
      <c r="M5" s="33">
        <v>0</v>
      </c>
      <c r="N5" s="33">
        <v>0</v>
      </c>
      <c r="O5" s="82">
        <v>0</v>
      </c>
      <c r="P5" s="33">
        <v>35948</v>
      </c>
      <c r="Q5" s="33">
        <v>0</v>
      </c>
      <c r="R5" s="33">
        <v>0</v>
      </c>
      <c r="S5" s="33">
        <v>0</v>
      </c>
      <c r="T5" s="33">
        <v>0</v>
      </c>
      <c r="U5" s="33">
        <v>0</v>
      </c>
      <c r="V5" s="82">
        <v>0</v>
      </c>
    </row>
    <row r="6" spans="1:22" x14ac:dyDescent="0.25">
      <c r="A6" s="20" t="s">
        <v>38</v>
      </c>
      <c r="B6" s="21" t="s">
        <v>128</v>
      </c>
      <c r="C6" s="70">
        <v>152.84824902723736</v>
      </c>
      <c r="D6" s="33">
        <v>392.82</v>
      </c>
      <c r="E6" s="33">
        <v>86.73</v>
      </c>
      <c r="F6" s="33">
        <v>2.57</v>
      </c>
      <c r="G6" s="33">
        <v>5.94</v>
      </c>
      <c r="H6" s="33">
        <v>3.37</v>
      </c>
      <c r="I6" s="82">
        <v>0.56699999999999995</v>
      </c>
      <c r="J6" s="33">
        <v>0</v>
      </c>
      <c r="K6" s="33">
        <v>0</v>
      </c>
      <c r="L6" s="33">
        <v>0</v>
      </c>
      <c r="M6" s="33">
        <v>0</v>
      </c>
      <c r="N6" s="33">
        <v>0</v>
      </c>
      <c r="O6" s="82">
        <v>0</v>
      </c>
      <c r="P6" s="33">
        <v>406</v>
      </c>
      <c r="Q6" s="33">
        <v>46.4</v>
      </c>
      <c r="R6" s="33">
        <v>0</v>
      </c>
      <c r="S6" s="33">
        <v>0</v>
      </c>
      <c r="T6" s="33">
        <v>0</v>
      </c>
      <c r="U6" s="33">
        <v>0</v>
      </c>
      <c r="V6" s="82">
        <v>0</v>
      </c>
    </row>
    <row r="7" spans="1:22" ht="15.75" thickBot="1" x14ac:dyDescent="0.3">
      <c r="A7" s="20" t="s">
        <v>39</v>
      </c>
      <c r="B7" s="21" t="s">
        <v>128</v>
      </c>
      <c r="C7" s="70">
        <v>46.070833333333333</v>
      </c>
      <c r="D7" s="33">
        <v>1326.84</v>
      </c>
      <c r="E7" s="33">
        <v>0</v>
      </c>
      <c r="F7" s="33">
        <v>28.8</v>
      </c>
      <c r="G7" s="33">
        <v>47.05</v>
      </c>
      <c r="H7" s="33">
        <v>18.25</v>
      </c>
      <c r="I7" s="82">
        <v>0.38800000000000001</v>
      </c>
      <c r="J7" s="33">
        <v>21.72</v>
      </c>
      <c r="K7" s="33">
        <v>0</v>
      </c>
      <c r="L7" s="33">
        <v>0</v>
      </c>
      <c r="M7" s="33">
        <v>0</v>
      </c>
      <c r="N7" s="33">
        <v>0</v>
      </c>
      <c r="O7" s="82">
        <v>0</v>
      </c>
      <c r="P7" s="33">
        <v>3094</v>
      </c>
      <c r="Q7" s="33">
        <v>0</v>
      </c>
      <c r="R7" s="33">
        <v>0</v>
      </c>
      <c r="S7" s="33">
        <v>0</v>
      </c>
      <c r="T7" s="33">
        <v>0</v>
      </c>
      <c r="U7" s="33">
        <v>0</v>
      </c>
      <c r="V7" s="82">
        <v>0</v>
      </c>
    </row>
    <row r="8" spans="1:22" s="3" customFormat="1" ht="15.75" thickBot="1" x14ac:dyDescent="0.3">
      <c r="A8" s="2"/>
      <c r="B8" s="87" t="s">
        <v>49</v>
      </c>
      <c r="C8" s="89">
        <f>IF(D8=0,0,(D8/(F8/1)))</f>
        <v>4.4558535466026941</v>
      </c>
      <c r="D8" s="6">
        <f>SUM(D2:D7)</f>
        <v>360115.89</v>
      </c>
      <c r="E8" s="6">
        <f>SUM(E2:E7)</f>
        <v>74297.819999999992</v>
      </c>
      <c r="F8" s="6">
        <f>SUM(F2:F7)</f>
        <v>80818.610000000015</v>
      </c>
      <c r="G8" s="6">
        <f>SUM(G2:G7)</f>
        <v>111028.22</v>
      </c>
      <c r="H8" s="63">
        <f>SUM(H2:H7)</f>
        <v>30209.609999999997</v>
      </c>
      <c r="I8" s="90">
        <f>IF(G8=0,0,(1-(F8/G8)))</f>
        <v>0.27208947418953477</v>
      </c>
      <c r="J8" s="63">
        <f>SUM(J2:J7)</f>
        <v>373476.35</v>
      </c>
      <c r="K8" s="63">
        <f>SUM(K2:K7)</f>
        <v>76748.59</v>
      </c>
      <c r="L8" s="63">
        <f>SUM(L2:L7)</f>
        <v>80231.820000000007</v>
      </c>
      <c r="M8" s="63">
        <f>SUM(M2:M7)</f>
        <v>110745.47</v>
      </c>
      <c r="N8" s="63">
        <f>SUM(N2:N7)</f>
        <v>30513.65</v>
      </c>
      <c r="O8" s="90">
        <f>IF(M8=0,0,(1-(L8/M8)))</f>
        <v>0.27552955439170557</v>
      </c>
      <c r="P8" s="63">
        <f t="shared" ref="P8:U8" si="0">SUM(P2:P7)</f>
        <v>1663302</v>
      </c>
      <c r="Q8" s="63">
        <f t="shared" si="0"/>
        <v>292493.43000000005</v>
      </c>
      <c r="R8" s="63">
        <f t="shared" si="0"/>
        <v>65374.61</v>
      </c>
      <c r="S8" s="63">
        <f t="shared" si="0"/>
        <v>61983.92</v>
      </c>
      <c r="T8" s="63">
        <f t="shared" si="0"/>
        <v>87463.02</v>
      </c>
      <c r="U8" s="63">
        <f t="shared" si="0"/>
        <v>25479.1</v>
      </c>
      <c r="V8" s="90">
        <f>IF(T8=0,0,(1-(S8/T8)))</f>
        <v>0.29131283141149256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83D9A-94C4-4A54-BD0B-2A1ED255DB7F}">
  <sheetPr codeName="Sheet14">
    <tabColor theme="9" tint="-0.249977111117893"/>
  </sheetPr>
  <dimension ref="A1:V5"/>
  <sheetViews>
    <sheetView zoomScale="90" zoomScaleNormal="90" workbookViewId="0">
      <selection activeCell="C5" sqref="C5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8" t="s">
        <v>36</v>
      </c>
      <c r="B2" s="19" t="s">
        <v>86</v>
      </c>
      <c r="C2" s="69" cm="1">
        <f t="array" ref="C2:V4">'P - All'!C8:V10</f>
        <v>18.59774856062559</v>
      </c>
      <c r="D2" s="32">
        <v>4328.4399999999996</v>
      </c>
      <c r="E2" s="32">
        <v>274.91000000000003</v>
      </c>
      <c r="F2" s="32">
        <v>232.74</v>
      </c>
      <c r="G2" s="32">
        <v>365.33</v>
      </c>
      <c r="H2" s="32">
        <v>132.59</v>
      </c>
      <c r="I2" s="81">
        <v>0.36299999999999999</v>
      </c>
      <c r="J2" s="32">
        <v>0</v>
      </c>
      <c r="K2" s="32">
        <v>0</v>
      </c>
      <c r="L2" s="32">
        <v>0</v>
      </c>
      <c r="M2" s="32">
        <v>0</v>
      </c>
      <c r="N2" s="32">
        <v>0</v>
      </c>
      <c r="O2" s="81">
        <v>0</v>
      </c>
      <c r="P2" s="32">
        <v>35948</v>
      </c>
      <c r="Q2" s="32">
        <v>0</v>
      </c>
      <c r="R2" s="32">
        <v>0</v>
      </c>
      <c r="S2" s="32">
        <v>0</v>
      </c>
      <c r="T2" s="32">
        <v>0</v>
      </c>
      <c r="U2" s="32">
        <v>0</v>
      </c>
      <c r="V2" s="81">
        <v>0</v>
      </c>
    </row>
    <row r="3" spans="1:22" x14ac:dyDescent="0.25">
      <c r="A3" s="18" t="s">
        <v>38</v>
      </c>
      <c r="B3" s="19" t="s">
        <v>86</v>
      </c>
      <c r="C3" s="69">
        <v>152.84824902723736</v>
      </c>
      <c r="D3" s="32">
        <v>392.82</v>
      </c>
      <c r="E3" s="32">
        <v>86.73</v>
      </c>
      <c r="F3" s="32">
        <v>2.57</v>
      </c>
      <c r="G3" s="32">
        <v>5.94</v>
      </c>
      <c r="H3" s="32">
        <v>3.37</v>
      </c>
      <c r="I3" s="81">
        <v>0.56699999999999995</v>
      </c>
      <c r="J3" s="32">
        <v>0</v>
      </c>
      <c r="K3" s="32">
        <v>0</v>
      </c>
      <c r="L3" s="32">
        <v>0</v>
      </c>
      <c r="M3" s="32">
        <v>0</v>
      </c>
      <c r="N3" s="32">
        <v>0</v>
      </c>
      <c r="O3" s="81">
        <v>0</v>
      </c>
      <c r="P3" s="32">
        <v>406</v>
      </c>
      <c r="Q3" s="32">
        <v>46.4</v>
      </c>
      <c r="R3" s="32">
        <v>0</v>
      </c>
      <c r="S3" s="32">
        <v>0</v>
      </c>
      <c r="T3" s="32">
        <v>0</v>
      </c>
      <c r="U3" s="32">
        <v>0</v>
      </c>
      <c r="V3" s="81">
        <v>0</v>
      </c>
    </row>
    <row r="4" spans="1:22" ht="15.75" thickBot="1" x14ac:dyDescent="0.3">
      <c r="A4" s="18" t="s">
        <v>39</v>
      </c>
      <c r="B4" s="19" t="s">
        <v>86</v>
      </c>
      <c r="C4" s="69">
        <v>46.070833333333333</v>
      </c>
      <c r="D4" s="32">
        <v>1326.84</v>
      </c>
      <c r="E4" s="32">
        <v>0</v>
      </c>
      <c r="F4" s="32">
        <v>28.8</v>
      </c>
      <c r="G4" s="32">
        <v>47.05</v>
      </c>
      <c r="H4" s="32">
        <v>18.25</v>
      </c>
      <c r="I4" s="81">
        <v>0.38800000000000001</v>
      </c>
      <c r="J4" s="32">
        <v>21.72</v>
      </c>
      <c r="K4" s="32">
        <v>0</v>
      </c>
      <c r="L4" s="32">
        <v>0</v>
      </c>
      <c r="M4" s="32">
        <v>0</v>
      </c>
      <c r="N4" s="32">
        <v>0</v>
      </c>
      <c r="O4" s="81">
        <v>0</v>
      </c>
      <c r="P4" s="32">
        <v>3094</v>
      </c>
      <c r="Q4" s="32">
        <v>0</v>
      </c>
      <c r="R4" s="32">
        <v>0</v>
      </c>
      <c r="S4" s="32">
        <v>0</v>
      </c>
      <c r="T4" s="32">
        <v>0</v>
      </c>
      <c r="U4" s="32">
        <v>0</v>
      </c>
      <c r="V4" s="81">
        <v>0</v>
      </c>
    </row>
    <row r="5" spans="1:22" s="3" customFormat="1" ht="15.75" thickBot="1" x14ac:dyDescent="0.3">
      <c r="A5" s="2"/>
      <c r="B5" s="87" t="s">
        <v>49</v>
      </c>
      <c r="C5" s="89">
        <f>IF(D5=0,0,(D5/(F5/1)))</f>
        <v>22.899928060277912</v>
      </c>
      <c r="D5" s="6">
        <f>SUM(D2:D4)</f>
        <v>6048.0999999999995</v>
      </c>
      <c r="E5" s="6">
        <f>SUM(E2:E4)</f>
        <v>361.64000000000004</v>
      </c>
      <c r="F5" s="6">
        <f>SUM(F2:F4)</f>
        <v>264.11</v>
      </c>
      <c r="G5" s="6">
        <f>SUM(G2:G4)</f>
        <v>418.32</v>
      </c>
      <c r="H5" s="63">
        <f>SUM(H2:H4)</f>
        <v>154.21</v>
      </c>
      <c r="I5" s="90">
        <f>IF(G5=0,0,(1-(F5/G5)))</f>
        <v>0.36864123159303874</v>
      </c>
      <c r="J5" s="63">
        <f>SUM(J2:J4)</f>
        <v>21.72</v>
      </c>
      <c r="K5" s="63">
        <f>SUM(K2:K4)</f>
        <v>0</v>
      </c>
      <c r="L5" s="63">
        <f>SUM(L2:L4)</f>
        <v>0</v>
      </c>
      <c r="M5" s="63">
        <f>SUM(M2:M4)</f>
        <v>0</v>
      </c>
      <c r="N5" s="63">
        <f>SUM(N2:N4)</f>
        <v>0</v>
      </c>
      <c r="O5" s="90">
        <f>IF(M5=0,0,(1-(L5/M5)))</f>
        <v>0</v>
      </c>
      <c r="P5" s="63">
        <f t="shared" ref="P5:U5" si="0">SUM(P2:P4)</f>
        <v>39448</v>
      </c>
      <c r="Q5" s="63">
        <f t="shared" si="0"/>
        <v>46.4</v>
      </c>
      <c r="R5" s="63">
        <f t="shared" si="0"/>
        <v>0</v>
      </c>
      <c r="S5" s="63">
        <f t="shared" si="0"/>
        <v>0</v>
      </c>
      <c r="T5" s="63">
        <f t="shared" si="0"/>
        <v>0</v>
      </c>
      <c r="U5" s="63">
        <f t="shared" si="0"/>
        <v>0</v>
      </c>
      <c r="V5" s="90">
        <f>IF(T5=0,0,(1-(S5/T5)))</f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ED8FA-6DE8-4F65-A87C-2ADB5D31B3D5}">
  <sheetPr codeName="Sheet15">
    <tabColor theme="9" tint="-0.499984740745262"/>
  </sheetPr>
  <dimension ref="A1:V23"/>
  <sheetViews>
    <sheetView zoomScale="90" zoomScaleNormal="90" workbookViewId="0">
      <selection activeCell="C4" sqref="C4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87</v>
      </c>
      <c r="C2" s="68">
        <f>IF(D2=0,0,(D2/(F2/1)))</f>
        <v>3.6438282479946018</v>
      </c>
      <c r="D2" s="79">
        <v>19442.009999999998</v>
      </c>
      <c r="E2" s="79">
        <v>2712.75</v>
      </c>
      <c r="F2" s="79">
        <v>5335.6</v>
      </c>
      <c r="G2" s="79">
        <v>9857.4599999999991</v>
      </c>
      <c r="H2" s="79">
        <v>4521.8599999999997</v>
      </c>
      <c r="I2" s="80">
        <f>IF(G2=0,0,ROUND((1-F2/G2),3))</f>
        <v>0.45900000000000002</v>
      </c>
      <c r="J2" s="79">
        <v>21875.32</v>
      </c>
      <c r="K2" s="79">
        <v>2254.65</v>
      </c>
      <c r="L2" s="79">
        <v>2474.0500000000002</v>
      </c>
      <c r="M2" s="79">
        <v>4593.04</v>
      </c>
      <c r="N2" s="79">
        <v>2118.9899999999998</v>
      </c>
      <c r="O2" s="80">
        <f>IF(M2=0,0,ROUND((1-L2/M2),3))</f>
        <v>0.46100000000000002</v>
      </c>
      <c r="P2" s="79">
        <v>99475</v>
      </c>
      <c r="Q2" s="79">
        <v>19295.64</v>
      </c>
      <c r="R2" s="79">
        <v>1923.76</v>
      </c>
      <c r="S2" s="79">
        <v>2734.49</v>
      </c>
      <c r="T2" s="79">
        <v>5117.79</v>
      </c>
      <c r="U2" s="79">
        <v>2383.3000000000002</v>
      </c>
      <c r="V2" s="80">
        <f>IF(T2=0,0,ROUND((1-S2/T2),3))</f>
        <v>0.46600000000000003</v>
      </c>
    </row>
    <row r="3" spans="1:22" x14ac:dyDescent="0.25">
      <c r="A3" s="16" t="s">
        <v>38</v>
      </c>
      <c r="B3" s="17" t="s">
        <v>87</v>
      </c>
      <c r="C3" s="68">
        <f t="shared" ref="C3:C23" si="0">IF(D3=0,0,(D3/(F3/1)))</f>
        <v>11.667979391629613</v>
      </c>
      <c r="D3" s="79">
        <v>16532.36</v>
      </c>
      <c r="E3" s="79">
        <v>-252.4</v>
      </c>
      <c r="F3" s="79">
        <v>1416.9</v>
      </c>
      <c r="G3" s="79">
        <v>2130.15</v>
      </c>
      <c r="H3" s="79">
        <v>713.25</v>
      </c>
      <c r="I3" s="80">
        <f t="shared" ref="I3:I23" si="1">IF(G3=0,0,ROUND((1-F3/G3),3))</f>
        <v>0.33500000000000002</v>
      </c>
      <c r="J3" s="79">
        <v>22361.06</v>
      </c>
      <c r="K3" s="79">
        <v>-731.42</v>
      </c>
      <c r="L3" s="79">
        <v>542.54</v>
      </c>
      <c r="M3" s="79">
        <v>892.91</v>
      </c>
      <c r="N3" s="79">
        <v>350.37</v>
      </c>
      <c r="O3" s="80">
        <f t="shared" ref="O3:O23" si="2">IF(M3=0,0,ROUND((1-L3/M3),3))</f>
        <v>0.39200000000000002</v>
      </c>
      <c r="P3" s="79">
        <v>7433</v>
      </c>
      <c r="Q3" s="79">
        <v>5661.65</v>
      </c>
      <c r="R3" s="79">
        <v>274.83</v>
      </c>
      <c r="S3" s="79">
        <v>374.64</v>
      </c>
      <c r="T3" s="79">
        <v>627.36</v>
      </c>
      <c r="U3" s="79">
        <v>252.72</v>
      </c>
      <c r="V3" s="80">
        <f t="shared" ref="V3:V23" si="3">IF(T3=0,0,ROUND((1-S3/T3),3))</f>
        <v>0.40300000000000002</v>
      </c>
    </row>
    <row r="4" spans="1:22" x14ac:dyDescent="0.25">
      <c r="A4" s="16" t="s">
        <v>39</v>
      </c>
      <c r="B4" s="17" t="s">
        <v>87</v>
      </c>
      <c r="C4" s="68" t="e">
        <f t="shared" si="0"/>
        <v>#DIV/0!</v>
      </c>
      <c r="D4" s="79">
        <v>39.880000000000003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356.06</v>
      </c>
      <c r="K4" s="79">
        <v>5.8</v>
      </c>
      <c r="L4" s="79">
        <v>3.82</v>
      </c>
      <c r="M4" s="79">
        <v>5.94</v>
      </c>
      <c r="N4" s="79">
        <v>2.12</v>
      </c>
      <c r="O4" s="80">
        <f t="shared" si="2"/>
        <v>0.35699999999999998</v>
      </c>
      <c r="P4" s="79">
        <v>42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36</v>
      </c>
      <c r="B5" s="19" t="s">
        <v>88</v>
      </c>
      <c r="C5" s="69">
        <f t="shared" si="0"/>
        <v>10.026558296605803</v>
      </c>
      <c r="D5" s="32">
        <v>1751.74</v>
      </c>
      <c r="E5" s="32">
        <v>279.68</v>
      </c>
      <c r="F5" s="32">
        <v>174.71</v>
      </c>
      <c r="G5" s="32">
        <v>295.37</v>
      </c>
      <c r="H5" s="32">
        <v>120.66</v>
      </c>
      <c r="I5" s="81">
        <f t="shared" si="1"/>
        <v>0.40899999999999997</v>
      </c>
      <c r="J5" s="32">
        <v>967.72</v>
      </c>
      <c r="K5" s="32">
        <v>622.30999999999995</v>
      </c>
      <c r="L5" s="32">
        <v>101.95</v>
      </c>
      <c r="M5" s="32">
        <v>176.27</v>
      </c>
      <c r="N5" s="32">
        <v>74.319999999999993</v>
      </c>
      <c r="O5" s="81">
        <f t="shared" si="2"/>
        <v>0.42199999999999999</v>
      </c>
      <c r="P5" s="32">
        <v>4121</v>
      </c>
      <c r="Q5" s="32">
        <v>1181.8900000000001</v>
      </c>
      <c r="R5" s="32">
        <v>0</v>
      </c>
      <c r="S5" s="32">
        <v>28.22</v>
      </c>
      <c r="T5" s="32">
        <v>52.92</v>
      </c>
      <c r="U5" s="32">
        <v>24.7</v>
      </c>
      <c r="V5" s="81">
        <f t="shared" si="3"/>
        <v>0.46700000000000003</v>
      </c>
    </row>
    <row r="6" spans="1:22" x14ac:dyDescent="0.25">
      <c r="A6" s="18" t="s">
        <v>38</v>
      </c>
      <c r="B6" s="19" t="s">
        <v>88</v>
      </c>
      <c r="C6" s="69" t="e">
        <f t="shared" si="0"/>
        <v>#DIV/0!</v>
      </c>
      <c r="D6" s="32">
        <v>506.51</v>
      </c>
      <c r="E6" s="32">
        <v>8.43</v>
      </c>
      <c r="F6" s="32">
        <v>0</v>
      </c>
      <c r="G6" s="32">
        <v>0</v>
      </c>
      <c r="H6" s="32">
        <v>0</v>
      </c>
      <c r="I6" s="81">
        <f t="shared" si="1"/>
        <v>0</v>
      </c>
      <c r="J6" s="32">
        <v>675.41</v>
      </c>
      <c r="K6" s="32">
        <v>-559.4</v>
      </c>
      <c r="L6" s="32">
        <v>11.11</v>
      </c>
      <c r="M6" s="32">
        <v>22.77</v>
      </c>
      <c r="N6" s="32">
        <v>11.66</v>
      </c>
      <c r="O6" s="81">
        <f t="shared" si="2"/>
        <v>0.51200000000000001</v>
      </c>
      <c r="P6" s="32">
        <v>58</v>
      </c>
      <c r="Q6" s="32">
        <v>0</v>
      </c>
      <c r="R6" s="32">
        <v>0</v>
      </c>
      <c r="S6" s="32">
        <v>0</v>
      </c>
      <c r="T6" s="32">
        <v>0</v>
      </c>
      <c r="U6" s="32">
        <v>0</v>
      </c>
      <c r="V6" s="81">
        <f t="shared" si="3"/>
        <v>0</v>
      </c>
    </row>
    <row r="7" spans="1:22" x14ac:dyDescent="0.25">
      <c r="A7" s="18" t="s">
        <v>39</v>
      </c>
      <c r="B7" s="19" t="s">
        <v>88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36</v>
      </c>
      <c r="B8" s="21" t="s">
        <v>89</v>
      </c>
      <c r="C8" s="70">
        <f t="shared" si="0"/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82">
        <f t="shared" si="1"/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82">
        <f t="shared" si="2"/>
        <v>0</v>
      </c>
      <c r="P8" s="33">
        <v>0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82">
        <f t="shared" si="3"/>
        <v>0</v>
      </c>
    </row>
    <row r="9" spans="1:22" x14ac:dyDescent="0.25">
      <c r="A9" s="20" t="s">
        <v>38</v>
      </c>
      <c r="B9" s="21" t="s">
        <v>89</v>
      </c>
      <c r="C9" s="70">
        <f t="shared" si="0"/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82">
        <f t="shared" si="1"/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82">
        <f t="shared" si="2"/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82">
        <f t="shared" si="3"/>
        <v>0</v>
      </c>
    </row>
    <row r="10" spans="1:22" x14ac:dyDescent="0.25">
      <c r="A10" s="20" t="s">
        <v>39</v>
      </c>
      <c r="B10" s="21" t="s">
        <v>89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36</v>
      </c>
      <c r="B11" s="23" t="s">
        <v>90</v>
      </c>
      <c r="C11" s="71">
        <f t="shared" si="0"/>
        <v>15.36077609500837</v>
      </c>
      <c r="D11" s="34">
        <v>116537.60000000001</v>
      </c>
      <c r="E11" s="34">
        <v>22027.73</v>
      </c>
      <c r="F11" s="34">
        <v>7586.7</v>
      </c>
      <c r="G11" s="34">
        <v>12766.61</v>
      </c>
      <c r="H11" s="34">
        <v>5179.91</v>
      </c>
      <c r="I11" s="83">
        <f t="shared" si="1"/>
        <v>0.40600000000000003</v>
      </c>
      <c r="J11" s="34">
        <v>238302.01</v>
      </c>
      <c r="K11" s="34">
        <v>15495.79</v>
      </c>
      <c r="L11" s="34">
        <v>2808.62</v>
      </c>
      <c r="M11" s="34">
        <v>4798.99</v>
      </c>
      <c r="N11" s="34">
        <v>1990.37</v>
      </c>
      <c r="O11" s="83">
        <f t="shared" si="2"/>
        <v>0.41499999999999998</v>
      </c>
      <c r="P11" s="34">
        <v>351570</v>
      </c>
      <c r="Q11" s="34">
        <v>370275.38</v>
      </c>
      <c r="R11" s="34">
        <v>32972.22</v>
      </c>
      <c r="S11" s="34">
        <v>6893.44</v>
      </c>
      <c r="T11" s="34">
        <v>9516.5300000000007</v>
      </c>
      <c r="U11" s="34">
        <v>2623.09</v>
      </c>
      <c r="V11" s="83">
        <f t="shared" si="3"/>
        <v>0.27600000000000002</v>
      </c>
    </row>
    <row r="12" spans="1:22" x14ac:dyDescent="0.25">
      <c r="A12" s="22" t="s">
        <v>38</v>
      </c>
      <c r="B12" s="23" t="s">
        <v>90</v>
      </c>
      <c r="C12" s="71">
        <f t="shared" si="0"/>
        <v>124.24709905948455</v>
      </c>
      <c r="D12" s="34">
        <v>10172.11</v>
      </c>
      <c r="E12" s="34">
        <v>0</v>
      </c>
      <c r="F12" s="34">
        <v>81.87</v>
      </c>
      <c r="G12" s="34">
        <v>126.95</v>
      </c>
      <c r="H12" s="34">
        <v>45.08</v>
      </c>
      <c r="I12" s="83">
        <f t="shared" si="1"/>
        <v>0.35499999999999998</v>
      </c>
      <c r="J12" s="34">
        <v>18838.97</v>
      </c>
      <c r="K12" s="34">
        <v>818.04</v>
      </c>
      <c r="L12" s="34">
        <v>635.71</v>
      </c>
      <c r="M12" s="34">
        <v>332.7</v>
      </c>
      <c r="N12" s="34">
        <v>-303.01</v>
      </c>
      <c r="O12" s="83">
        <f t="shared" si="2"/>
        <v>-0.91100000000000003</v>
      </c>
      <c r="P12" s="34">
        <v>8103</v>
      </c>
      <c r="Q12" s="34">
        <v>11691.13</v>
      </c>
      <c r="R12" s="34">
        <v>0</v>
      </c>
      <c r="S12" s="34">
        <v>35.82</v>
      </c>
      <c r="T12" s="34">
        <v>63.97</v>
      </c>
      <c r="U12" s="34">
        <v>28.15</v>
      </c>
      <c r="V12" s="83">
        <f t="shared" si="3"/>
        <v>0.44</v>
      </c>
    </row>
    <row r="13" spans="1:22" x14ac:dyDescent="0.25">
      <c r="A13" s="22" t="s">
        <v>39</v>
      </c>
      <c r="B13" s="23" t="s">
        <v>90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9424.5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36</v>
      </c>
      <c r="B14" s="25" t="s">
        <v>91</v>
      </c>
      <c r="C14" s="72">
        <f t="shared" si="0"/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84">
        <f t="shared" si="1"/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84">
        <f t="shared" si="2"/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84">
        <f t="shared" si="3"/>
        <v>0</v>
      </c>
    </row>
    <row r="15" spans="1:22" x14ac:dyDescent="0.25">
      <c r="A15" s="24" t="s">
        <v>38</v>
      </c>
      <c r="B15" s="25" t="s">
        <v>91</v>
      </c>
      <c r="C15" s="72">
        <f t="shared" si="0"/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84">
        <f t="shared" si="1"/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84">
        <f t="shared" si="2"/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84">
        <f t="shared" si="3"/>
        <v>0</v>
      </c>
    </row>
    <row r="16" spans="1:22" x14ac:dyDescent="0.25">
      <c r="A16" s="24" t="s">
        <v>39</v>
      </c>
      <c r="B16" s="25" t="s">
        <v>91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ht="24" x14ac:dyDescent="0.25">
      <c r="A17" s="26" t="s">
        <v>36</v>
      </c>
      <c r="B17" s="27" t="s">
        <v>92</v>
      </c>
      <c r="C17" s="73" t="e">
        <f t="shared" si="0"/>
        <v>#DIV/0!</v>
      </c>
      <c r="D17" s="36">
        <v>1770.33</v>
      </c>
      <c r="E17" s="36">
        <v>0</v>
      </c>
      <c r="F17" s="36">
        <v>0</v>
      </c>
      <c r="G17" s="36">
        <v>0</v>
      </c>
      <c r="H17" s="36">
        <v>0</v>
      </c>
      <c r="I17" s="85">
        <f t="shared" ref="I17:I19" si="4">IF(G17=0,0,ROUND((1-F17/G17),3))</f>
        <v>0</v>
      </c>
      <c r="J17" s="36">
        <v>22188.09</v>
      </c>
      <c r="K17" s="36">
        <v>0</v>
      </c>
      <c r="L17" s="36">
        <v>0</v>
      </c>
      <c r="M17" s="36">
        <v>0</v>
      </c>
      <c r="N17" s="36">
        <v>0</v>
      </c>
      <c r="O17" s="85">
        <f t="shared" ref="O17:O19" si="5">IF(M17=0,0,ROUND((1-L17/M17),3))</f>
        <v>0</v>
      </c>
      <c r="P17" s="36">
        <v>12891</v>
      </c>
      <c r="Q17" s="36">
        <v>750.77</v>
      </c>
      <c r="R17" s="36">
        <v>5169.8500000000004</v>
      </c>
      <c r="S17" s="36">
        <v>4044.08</v>
      </c>
      <c r="T17" s="36">
        <v>5085.8</v>
      </c>
      <c r="U17" s="36">
        <v>1041.72</v>
      </c>
      <c r="V17" s="85">
        <f t="shared" ref="V17:V19" si="6">IF(T17=0,0,ROUND((1-S17/T17),3))</f>
        <v>0.20499999999999999</v>
      </c>
    </row>
    <row r="18" spans="1:22" ht="24" x14ac:dyDescent="0.25">
      <c r="A18" s="26" t="s">
        <v>38</v>
      </c>
      <c r="B18" s="27" t="s">
        <v>92</v>
      </c>
      <c r="C18" s="73">
        <f t="shared" si="0"/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85">
        <f t="shared" si="4"/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85">
        <f t="shared" si="5"/>
        <v>0</v>
      </c>
      <c r="P18" s="36">
        <v>7450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85">
        <f t="shared" si="6"/>
        <v>0</v>
      </c>
    </row>
    <row r="19" spans="1:22" ht="24" x14ac:dyDescent="0.25">
      <c r="A19" s="26" t="s">
        <v>39</v>
      </c>
      <c r="B19" s="27" t="s">
        <v>92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4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5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6"/>
        <v>0</v>
      </c>
    </row>
    <row r="20" spans="1:22" ht="24" x14ac:dyDescent="0.25">
      <c r="A20" s="28" t="s">
        <v>36</v>
      </c>
      <c r="B20" s="29" t="s">
        <v>127</v>
      </c>
      <c r="C20" s="74">
        <f t="shared" si="0"/>
        <v>3.2887518235860385</v>
      </c>
      <c r="D20" s="37">
        <v>6627.69</v>
      </c>
      <c r="E20" s="37">
        <v>-1522.27</v>
      </c>
      <c r="F20" s="37">
        <v>2015.26</v>
      </c>
      <c r="G20" s="37">
        <v>137</v>
      </c>
      <c r="H20" s="37">
        <v>-1878.26</v>
      </c>
      <c r="I20" s="86">
        <f t="shared" si="1"/>
        <v>-13.71</v>
      </c>
      <c r="J20" s="37">
        <v>19.55</v>
      </c>
      <c r="K20" s="37">
        <v>0</v>
      </c>
      <c r="L20" s="37">
        <v>0</v>
      </c>
      <c r="M20" s="37">
        <v>0</v>
      </c>
      <c r="N20" s="37">
        <v>0</v>
      </c>
      <c r="O20" s="86">
        <f t="shared" si="2"/>
        <v>0</v>
      </c>
      <c r="P20" s="37">
        <v>63655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  <c r="V20" s="86">
        <f t="shared" si="3"/>
        <v>0</v>
      </c>
    </row>
    <row r="21" spans="1:22" ht="24" x14ac:dyDescent="0.25">
      <c r="A21" s="28" t="s">
        <v>38</v>
      </c>
      <c r="B21" s="29" t="s">
        <v>127</v>
      </c>
      <c r="C21" s="74" t="e">
        <f t="shared" si="0"/>
        <v>#DIV/0!</v>
      </c>
      <c r="D21" s="37">
        <v>2511.0700000000002</v>
      </c>
      <c r="E21" s="37">
        <v>1522.15</v>
      </c>
      <c r="F21" s="37">
        <v>0</v>
      </c>
      <c r="G21" s="37">
        <v>0</v>
      </c>
      <c r="H21" s="37">
        <v>0</v>
      </c>
      <c r="I21" s="86">
        <f t="shared" si="1"/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86">
        <f t="shared" si="2"/>
        <v>0</v>
      </c>
      <c r="P21" s="37">
        <v>2153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  <c r="V21" s="86">
        <f t="shared" si="3"/>
        <v>0</v>
      </c>
    </row>
    <row r="22" spans="1:22" ht="24.75" thickBot="1" x14ac:dyDescent="0.3">
      <c r="A22" s="28" t="s">
        <v>39</v>
      </c>
      <c r="B22" s="29" t="s">
        <v>127</v>
      </c>
      <c r="C22" s="74">
        <f t="shared" si="0"/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4500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s="3" customFormat="1" ht="15.75" thickBot="1" x14ac:dyDescent="0.3">
      <c r="A23" s="2"/>
      <c r="B23" s="87" t="s">
        <v>49</v>
      </c>
      <c r="C23" s="89">
        <f t="shared" si="0"/>
        <v>10.588819243105791</v>
      </c>
      <c r="D23" s="6">
        <f>SUM(D2:D22)</f>
        <v>175891.30000000002</v>
      </c>
      <c r="E23" s="6">
        <f>SUM(E2:E22)</f>
        <v>24776.07</v>
      </c>
      <c r="F23" s="6">
        <f>SUM(F2:F22)</f>
        <v>16611.04</v>
      </c>
      <c r="G23" s="6">
        <f>SUM(G2:G22)</f>
        <v>25313.54</v>
      </c>
      <c r="H23" s="63">
        <f>SUM(H2:H22)</f>
        <v>8702.5</v>
      </c>
      <c r="I23" s="90">
        <f t="shared" si="1"/>
        <v>0.34399999999999997</v>
      </c>
      <c r="J23" s="63">
        <f>SUM(J2:J22)</f>
        <v>335008.69000000006</v>
      </c>
      <c r="K23" s="63">
        <f>SUM(K2:K22)</f>
        <v>17905.77</v>
      </c>
      <c r="L23" s="63">
        <f>SUM(L2:L22)</f>
        <v>6577.8</v>
      </c>
      <c r="M23" s="63">
        <f>SUM(M2:M22)</f>
        <v>10822.62</v>
      </c>
      <c r="N23" s="63">
        <f>SUM(N2:N22)</f>
        <v>4244.82</v>
      </c>
      <c r="O23" s="90">
        <f t="shared" si="2"/>
        <v>0.39200000000000002</v>
      </c>
      <c r="P23" s="63">
        <f t="shared" ref="P23:U23" si="7">SUM(P2:P22)</f>
        <v>561451</v>
      </c>
      <c r="Q23" s="63">
        <f t="shared" si="7"/>
        <v>408856.46</v>
      </c>
      <c r="R23" s="63">
        <f t="shared" si="7"/>
        <v>40340.659999999996</v>
      </c>
      <c r="S23" s="63">
        <f t="shared" si="7"/>
        <v>14110.689999999999</v>
      </c>
      <c r="T23" s="63">
        <f t="shared" si="7"/>
        <v>20464.37</v>
      </c>
      <c r="U23" s="63">
        <f t="shared" si="7"/>
        <v>6353.6799999999994</v>
      </c>
      <c r="V23" s="90">
        <f t="shared" si="3"/>
        <v>0.31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D9391-7060-448C-9F88-7E9C71079F88}">
  <sheetPr codeName="Sheet16">
    <tabColor theme="9" tint="-0.499984740745262"/>
  </sheetPr>
  <dimension ref="A1:V20"/>
  <sheetViews>
    <sheetView zoomScale="90" zoomScaleNormal="90" workbookViewId="0">
      <selection activeCell="C21" sqref="C21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87</v>
      </c>
      <c r="C2" s="68" cm="1">
        <f t="array" ref="C2:V16">'OL - All'!C2:V16</f>
        <v>3.6438282479946018</v>
      </c>
      <c r="D2" s="79">
        <v>19442.009999999998</v>
      </c>
      <c r="E2" s="79">
        <v>2712.75</v>
      </c>
      <c r="F2" s="79">
        <v>5335.6</v>
      </c>
      <c r="G2" s="79">
        <v>9857.4599999999991</v>
      </c>
      <c r="H2" s="79">
        <v>4521.8599999999997</v>
      </c>
      <c r="I2" s="80">
        <v>0.45900000000000002</v>
      </c>
      <c r="J2" s="79">
        <v>21875.32</v>
      </c>
      <c r="K2" s="79">
        <v>2254.65</v>
      </c>
      <c r="L2" s="79">
        <v>2474.0500000000002</v>
      </c>
      <c r="M2" s="79">
        <v>4593.04</v>
      </c>
      <c r="N2" s="79">
        <v>2118.9899999999998</v>
      </c>
      <c r="O2" s="80">
        <v>0.46100000000000002</v>
      </c>
      <c r="P2" s="79">
        <v>99475</v>
      </c>
      <c r="Q2" s="79">
        <v>19295.64</v>
      </c>
      <c r="R2" s="79">
        <v>1923.76</v>
      </c>
      <c r="S2" s="79">
        <v>2734.49</v>
      </c>
      <c r="T2" s="79">
        <v>5117.79</v>
      </c>
      <c r="U2" s="79">
        <v>2383.3000000000002</v>
      </c>
      <c r="V2" s="80">
        <v>0.46600000000000003</v>
      </c>
    </row>
    <row r="3" spans="1:22" x14ac:dyDescent="0.25">
      <c r="A3" s="16" t="s">
        <v>38</v>
      </c>
      <c r="B3" s="17" t="s">
        <v>87</v>
      </c>
      <c r="C3" s="68">
        <v>11.667979391629613</v>
      </c>
      <c r="D3" s="79">
        <v>16532.36</v>
      </c>
      <c r="E3" s="79">
        <v>-252.4</v>
      </c>
      <c r="F3" s="79">
        <v>1416.9</v>
      </c>
      <c r="G3" s="79">
        <v>2130.15</v>
      </c>
      <c r="H3" s="79">
        <v>713.25</v>
      </c>
      <c r="I3" s="80">
        <v>0.33500000000000002</v>
      </c>
      <c r="J3" s="79">
        <v>22361.06</v>
      </c>
      <c r="K3" s="79">
        <v>-731.42</v>
      </c>
      <c r="L3" s="79">
        <v>542.54</v>
      </c>
      <c r="M3" s="79">
        <v>892.91</v>
      </c>
      <c r="N3" s="79">
        <v>350.37</v>
      </c>
      <c r="O3" s="80">
        <v>0.39200000000000002</v>
      </c>
      <c r="P3" s="79">
        <v>7433</v>
      </c>
      <c r="Q3" s="79">
        <v>5661.65</v>
      </c>
      <c r="R3" s="79">
        <v>274.83</v>
      </c>
      <c r="S3" s="79">
        <v>374.64</v>
      </c>
      <c r="T3" s="79">
        <v>627.36</v>
      </c>
      <c r="U3" s="79">
        <v>252.72</v>
      </c>
      <c r="V3" s="80">
        <v>0.40300000000000002</v>
      </c>
    </row>
    <row r="4" spans="1:22" x14ac:dyDescent="0.25">
      <c r="A4" s="16" t="s">
        <v>39</v>
      </c>
      <c r="B4" s="17" t="s">
        <v>87</v>
      </c>
      <c r="C4" s="68" t="e">
        <v>#DIV/0!</v>
      </c>
      <c r="D4" s="79">
        <v>39.880000000000003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356.06</v>
      </c>
      <c r="K4" s="79">
        <v>5.8</v>
      </c>
      <c r="L4" s="79">
        <v>3.82</v>
      </c>
      <c r="M4" s="79">
        <v>5.94</v>
      </c>
      <c r="N4" s="79">
        <v>2.12</v>
      </c>
      <c r="O4" s="80">
        <v>0.35699999999999998</v>
      </c>
      <c r="P4" s="79">
        <v>42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8" t="s">
        <v>36</v>
      </c>
      <c r="B5" s="19" t="s">
        <v>88</v>
      </c>
      <c r="C5" s="69">
        <v>10.026558296605803</v>
      </c>
      <c r="D5" s="32">
        <v>1751.74</v>
      </c>
      <c r="E5" s="32">
        <v>279.68</v>
      </c>
      <c r="F5" s="32">
        <v>174.71</v>
      </c>
      <c r="G5" s="32">
        <v>295.37</v>
      </c>
      <c r="H5" s="32">
        <v>120.66</v>
      </c>
      <c r="I5" s="81">
        <v>0.40899999999999997</v>
      </c>
      <c r="J5" s="32">
        <v>967.72</v>
      </c>
      <c r="K5" s="32">
        <v>622.30999999999995</v>
      </c>
      <c r="L5" s="32">
        <v>101.95</v>
      </c>
      <c r="M5" s="32">
        <v>176.27</v>
      </c>
      <c r="N5" s="32">
        <v>74.319999999999993</v>
      </c>
      <c r="O5" s="81">
        <v>0.42199999999999999</v>
      </c>
      <c r="P5" s="32">
        <v>4121</v>
      </c>
      <c r="Q5" s="32">
        <v>1181.8900000000001</v>
      </c>
      <c r="R5" s="32">
        <v>0</v>
      </c>
      <c r="S5" s="32">
        <v>28.22</v>
      </c>
      <c r="T5" s="32">
        <v>52.92</v>
      </c>
      <c r="U5" s="32">
        <v>24.7</v>
      </c>
      <c r="V5" s="81">
        <v>0.46700000000000003</v>
      </c>
    </row>
    <row r="6" spans="1:22" x14ac:dyDescent="0.25">
      <c r="A6" s="18" t="s">
        <v>38</v>
      </c>
      <c r="B6" s="19" t="s">
        <v>88</v>
      </c>
      <c r="C6" s="69" t="e">
        <v>#DIV/0!</v>
      </c>
      <c r="D6" s="32">
        <v>506.51</v>
      </c>
      <c r="E6" s="32">
        <v>8.43</v>
      </c>
      <c r="F6" s="32">
        <v>0</v>
      </c>
      <c r="G6" s="32">
        <v>0</v>
      </c>
      <c r="H6" s="32">
        <v>0</v>
      </c>
      <c r="I6" s="81">
        <v>0</v>
      </c>
      <c r="J6" s="32">
        <v>675.41</v>
      </c>
      <c r="K6" s="32">
        <v>-559.4</v>
      </c>
      <c r="L6" s="32">
        <v>11.11</v>
      </c>
      <c r="M6" s="32">
        <v>22.77</v>
      </c>
      <c r="N6" s="32">
        <v>11.66</v>
      </c>
      <c r="O6" s="81">
        <v>0.51200000000000001</v>
      </c>
      <c r="P6" s="32">
        <v>58</v>
      </c>
      <c r="Q6" s="32">
        <v>0</v>
      </c>
      <c r="R6" s="32">
        <v>0</v>
      </c>
      <c r="S6" s="32">
        <v>0</v>
      </c>
      <c r="T6" s="32">
        <v>0</v>
      </c>
      <c r="U6" s="32">
        <v>0</v>
      </c>
      <c r="V6" s="81">
        <v>0</v>
      </c>
    </row>
    <row r="7" spans="1:22" x14ac:dyDescent="0.25">
      <c r="A7" s="18" t="s">
        <v>39</v>
      </c>
      <c r="B7" s="19" t="s">
        <v>88</v>
      </c>
      <c r="C7" s="69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36</v>
      </c>
      <c r="B8" s="21" t="s">
        <v>89</v>
      </c>
      <c r="C8" s="70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82"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82">
        <v>0</v>
      </c>
      <c r="P8" s="33">
        <v>0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82">
        <v>0</v>
      </c>
    </row>
    <row r="9" spans="1:22" x14ac:dyDescent="0.25">
      <c r="A9" s="20" t="s">
        <v>38</v>
      </c>
      <c r="B9" s="21" t="s">
        <v>89</v>
      </c>
      <c r="C9" s="70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82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82"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82">
        <v>0</v>
      </c>
    </row>
    <row r="10" spans="1:22" x14ac:dyDescent="0.25">
      <c r="A10" s="20" t="s">
        <v>39</v>
      </c>
      <c r="B10" s="21" t="s">
        <v>89</v>
      </c>
      <c r="C10" s="70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36</v>
      </c>
      <c r="B11" s="23" t="s">
        <v>90</v>
      </c>
      <c r="C11" s="71">
        <v>15.36077609500837</v>
      </c>
      <c r="D11" s="34">
        <v>116537.60000000001</v>
      </c>
      <c r="E11" s="34">
        <v>22027.73</v>
      </c>
      <c r="F11" s="34">
        <v>7586.7</v>
      </c>
      <c r="G11" s="34">
        <v>12766.61</v>
      </c>
      <c r="H11" s="34">
        <v>5179.91</v>
      </c>
      <c r="I11" s="83">
        <v>0.40600000000000003</v>
      </c>
      <c r="J11" s="34">
        <v>238302.01</v>
      </c>
      <c r="K11" s="34">
        <v>15495.79</v>
      </c>
      <c r="L11" s="34">
        <v>2808.62</v>
      </c>
      <c r="M11" s="34">
        <v>4798.99</v>
      </c>
      <c r="N11" s="34">
        <v>1990.37</v>
      </c>
      <c r="O11" s="83">
        <v>0.41499999999999998</v>
      </c>
      <c r="P11" s="34">
        <v>351570</v>
      </c>
      <c r="Q11" s="34">
        <v>370275.38</v>
      </c>
      <c r="R11" s="34">
        <v>32972.22</v>
      </c>
      <c r="S11" s="34">
        <v>6893.44</v>
      </c>
      <c r="T11" s="34">
        <v>9516.5300000000007</v>
      </c>
      <c r="U11" s="34">
        <v>2623.09</v>
      </c>
      <c r="V11" s="83">
        <v>0.27600000000000002</v>
      </c>
    </row>
    <row r="12" spans="1:22" x14ac:dyDescent="0.25">
      <c r="A12" s="22" t="s">
        <v>38</v>
      </c>
      <c r="B12" s="23" t="s">
        <v>90</v>
      </c>
      <c r="C12" s="71">
        <v>124.24709905948455</v>
      </c>
      <c r="D12" s="34">
        <v>10172.11</v>
      </c>
      <c r="E12" s="34">
        <v>0</v>
      </c>
      <c r="F12" s="34">
        <v>81.87</v>
      </c>
      <c r="G12" s="34">
        <v>126.95</v>
      </c>
      <c r="H12" s="34">
        <v>45.08</v>
      </c>
      <c r="I12" s="83">
        <v>0.35499999999999998</v>
      </c>
      <c r="J12" s="34">
        <v>18838.97</v>
      </c>
      <c r="K12" s="34">
        <v>818.04</v>
      </c>
      <c r="L12" s="34">
        <v>635.71</v>
      </c>
      <c r="M12" s="34">
        <v>332.7</v>
      </c>
      <c r="N12" s="34">
        <v>-303.01</v>
      </c>
      <c r="O12" s="83">
        <v>-0.91100000000000003</v>
      </c>
      <c r="P12" s="34">
        <v>8103</v>
      </c>
      <c r="Q12" s="34">
        <v>11691.13</v>
      </c>
      <c r="R12" s="34">
        <v>0</v>
      </c>
      <c r="S12" s="34">
        <v>35.82</v>
      </c>
      <c r="T12" s="34">
        <v>63.97</v>
      </c>
      <c r="U12" s="34">
        <v>28.15</v>
      </c>
      <c r="V12" s="83">
        <v>0.44</v>
      </c>
    </row>
    <row r="13" spans="1:22" x14ac:dyDescent="0.25">
      <c r="A13" s="22" t="s">
        <v>39</v>
      </c>
      <c r="B13" s="23" t="s">
        <v>90</v>
      </c>
      <c r="C13" s="71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v>0</v>
      </c>
      <c r="J13" s="34">
        <v>9424.5</v>
      </c>
      <c r="K13" s="34">
        <v>0</v>
      </c>
      <c r="L13" s="34">
        <v>0</v>
      </c>
      <c r="M13" s="34">
        <v>0</v>
      </c>
      <c r="N13" s="34">
        <v>0</v>
      </c>
      <c r="O13" s="83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36</v>
      </c>
      <c r="B14" s="25" t="s">
        <v>91</v>
      </c>
      <c r="C14" s="72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84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84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84">
        <v>0</v>
      </c>
    </row>
    <row r="15" spans="1:22" x14ac:dyDescent="0.25">
      <c r="A15" s="24" t="s">
        <v>38</v>
      </c>
      <c r="B15" s="25" t="s">
        <v>91</v>
      </c>
      <c r="C15" s="72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84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84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84">
        <v>0</v>
      </c>
    </row>
    <row r="16" spans="1:22" x14ac:dyDescent="0.25">
      <c r="A16" s="24" t="s">
        <v>39</v>
      </c>
      <c r="B16" s="25" t="s">
        <v>91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ht="24" x14ac:dyDescent="0.25">
      <c r="A17" s="28" t="s">
        <v>36</v>
      </c>
      <c r="B17" s="29" t="s">
        <v>127</v>
      </c>
      <c r="C17" s="74" cm="1">
        <f t="array" ref="C17:V19">'OL - All'!C20:V22</f>
        <v>3.2887518235860385</v>
      </c>
      <c r="D17" s="37">
        <v>6627.69</v>
      </c>
      <c r="E17" s="37">
        <v>-1522.27</v>
      </c>
      <c r="F17" s="37">
        <v>2015.26</v>
      </c>
      <c r="G17" s="37">
        <v>137</v>
      </c>
      <c r="H17" s="37">
        <v>-1878.26</v>
      </c>
      <c r="I17" s="86">
        <v>-13.71</v>
      </c>
      <c r="J17" s="37">
        <v>19.55</v>
      </c>
      <c r="K17" s="37">
        <v>0</v>
      </c>
      <c r="L17" s="37">
        <v>0</v>
      </c>
      <c r="M17" s="37">
        <v>0</v>
      </c>
      <c r="N17" s="37">
        <v>0</v>
      </c>
      <c r="O17" s="86">
        <v>0</v>
      </c>
      <c r="P17" s="37">
        <v>63655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86">
        <v>0</v>
      </c>
    </row>
    <row r="18" spans="1:22" ht="24" x14ac:dyDescent="0.25">
      <c r="A18" s="28" t="s">
        <v>38</v>
      </c>
      <c r="B18" s="29" t="s">
        <v>127</v>
      </c>
      <c r="C18" s="74" t="e">
        <v>#DIV/0!</v>
      </c>
      <c r="D18" s="37">
        <v>2511.0700000000002</v>
      </c>
      <c r="E18" s="37">
        <v>1522.15</v>
      </c>
      <c r="F18" s="37">
        <v>0</v>
      </c>
      <c r="G18" s="37">
        <v>0</v>
      </c>
      <c r="H18" s="37">
        <v>0</v>
      </c>
      <c r="I18" s="86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86">
        <v>0</v>
      </c>
      <c r="P18" s="37">
        <v>2153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  <c r="V18" s="86">
        <v>0</v>
      </c>
    </row>
    <row r="19" spans="1:22" ht="24.75" thickBot="1" x14ac:dyDescent="0.3">
      <c r="A19" s="28" t="s">
        <v>39</v>
      </c>
      <c r="B19" s="29" t="s">
        <v>127</v>
      </c>
      <c r="C19" s="74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86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86">
        <v>0</v>
      </c>
      <c r="P19" s="37">
        <v>4500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  <c r="V19" s="86">
        <v>0</v>
      </c>
    </row>
    <row r="20" spans="1:22" s="3" customFormat="1" ht="15.75" thickBot="1" x14ac:dyDescent="0.3">
      <c r="A20" s="2"/>
      <c r="B20" s="87" t="s">
        <v>49</v>
      </c>
      <c r="C20" s="89">
        <f>IF(D20=0,0,(D20/(F20/1)))</f>
        <v>10.482243736695596</v>
      </c>
      <c r="D20" s="6">
        <f>SUM(D2:D19)</f>
        <v>174120.97000000003</v>
      </c>
      <c r="E20" s="6">
        <f>SUM(E2:E19)</f>
        <v>24776.07</v>
      </c>
      <c r="F20" s="6">
        <f>SUM(F2:F19)</f>
        <v>16611.04</v>
      </c>
      <c r="G20" s="6">
        <f>SUM(G2:G19)</f>
        <v>25313.54</v>
      </c>
      <c r="H20" s="63">
        <f>SUM(H2:H19)</f>
        <v>8702.5</v>
      </c>
      <c r="I20" s="90">
        <f>IF(G20=0,0,(1-(F20/G20)))</f>
        <v>0.34378834410359038</v>
      </c>
      <c r="J20" s="63">
        <f>SUM(J2:J19)</f>
        <v>312820.60000000003</v>
      </c>
      <c r="K20" s="63">
        <f>SUM(K2:K19)</f>
        <v>17905.77</v>
      </c>
      <c r="L20" s="63">
        <f>SUM(L2:L19)</f>
        <v>6577.8</v>
      </c>
      <c r="M20" s="63">
        <f>SUM(M2:M19)</f>
        <v>10822.62</v>
      </c>
      <c r="N20" s="63">
        <f>SUM(N2:N19)</f>
        <v>4244.82</v>
      </c>
      <c r="O20" s="90">
        <f>IF(M20=0,0,(1-(L20/M20)))</f>
        <v>0.39221741131075472</v>
      </c>
      <c r="P20" s="63">
        <f t="shared" ref="P20:U20" si="0">SUM(P2:P19)</f>
        <v>541110</v>
      </c>
      <c r="Q20" s="63">
        <f t="shared" si="0"/>
        <v>408105.69</v>
      </c>
      <c r="R20" s="63">
        <f t="shared" si="0"/>
        <v>35170.81</v>
      </c>
      <c r="S20" s="63">
        <f t="shared" si="0"/>
        <v>10066.609999999999</v>
      </c>
      <c r="T20" s="63">
        <f t="shared" si="0"/>
        <v>15378.57</v>
      </c>
      <c r="U20" s="63">
        <f t="shared" si="0"/>
        <v>5311.9599999999991</v>
      </c>
      <c r="V20" s="90">
        <f>IF(T20=0,0,(1-(S20/T20)))</f>
        <v>0.34541313008946872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3AFA4-38C5-4ACF-B6A5-D4ADA9D02876}">
  <sheetPr codeName="Sheet17">
    <tabColor theme="9" tint="-0.499984740745262"/>
  </sheetPr>
  <dimension ref="A1:V5"/>
  <sheetViews>
    <sheetView zoomScale="90" zoomScaleNormal="90" workbookViewId="0">
      <selection activeCell="B2" sqref="B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ht="24" x14ac:dyDescent="0.25">
      <c r="A2" s="26" t="s">
        <v>36</v>
      </c>
      <c r="B2" s="27" t="s">
        <v>92</v>
      </c>
      <c r="C2" s="73" t="e" cm="1">
        <f t="array" ref="C2:V4">'OL - All'!C17:V19</f>
        <v>#DIV/0!</v>
      </c>
      <c r="D2" s="36">
        <v>1770.33</v>
      </c>
      <c r="E2" s="36">
        <v>0</v>
      </c>
      <c r="F2" s="36">
        <v>0</v>
      </c>
      <c r="G2" s="36">
        <v>0</v>
      </c>
      <c r="H2" s="36">
        <v>0</v>
      </c>
      <c r="I2" s="85">
        <v>0</v>
      </c>
      <c r="J2" s="36">
        <v>22188.09</v>
      </c>
      <c r="K2" s="36">
        <v>0</v>
      </c>
      <c r="L2" s="36">
        <v>0</v>
      </c>
      <c r="M2" s="36">
        <v>0</v>
      </c>
      <c r="N2" s="36">
        <v>0</v>
      </c>
      <c r="O2" s="85">
        <v>0</v>
      </c>
      <c r="P2" s="36">
        <v>12891</v>
      </c>
      <c r="Q2" s="36">
        <v>750.77</v>
      </c>
      <c r="R2" s="36">
        <v>5169.8500000000004</v>
      </c>
      <c r="S2" s="36">
        <v>4044.08</v>
      </c>
      <c r="T2" s="36">
        <v>5085.8</v>
      </c>
      <c r="U2" s="36">
        <v>1041.72</v>
      </c>
      <c r="V2" s="85">
        <v>0.20499999999999999</v>
      </c>
    </row>
    <row r="3" spans="1:22" ht="24" x14ac:dyDescent="0.25">
      <c r="A3" s="26" t="s">
        <v>38</v>
      </c>
      <c r="B3" s="27" t="s">
        <v>92</v>
      </c>
      <c r="C3" s="73">
        <v>0</v>
      </c>
      <c r="D3" s="36">
        <v>0</v>
      </c>
      <c r="E3" s="36">
        <v>0</v>
      </c>
      <c r="F3" s="36">
        <v>0</v>
      </c>
      <c r="G3" s="36">
        <v>0</v>
      </c>
      <c r="H3" s="36">
        <v>0</v>
      </c>
      <c r="I3" s="85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85">
        <v>0</v>
      </c>
      <c r="P3" s="36">
        <v>7450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85">
        <v>0</v>
      </c>
    </row>
    <row r="4" spans="1:22" ht="24.75" thickBot="1" x14ac:dyDescent="0.3">
      <c r="A4" s="26" t="s">
        <v>39</v>
      </c>
      <c r="B4" s="27" t="s">
        <v>92</v>
      </c>
      <c r="C4" s="73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85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85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85">
        <v>0</v>
      </c>
    </row>
    <row r="5" spans="1:22" s="3" customFormat="1" ht="15.75" thickBot="1" x14ac:dyDescent="0.3">
      <c r="A5" s="2"/>
      <c r="B5" s="87" t="s">
        <v>49</v>
      </c>
      <c r="C5" s="89" t="e">
        <f>IF(D5=0,0,(D5/(F5/12)))</f>
        <v>#DIV/0!</v>
      </c>
      <c r="D5" s="6">
        <f>SUM(D2:D4)</f>
        <v>1770.33</v>
      </c>
      <c r="E5" s="6">
        <f>SUM(E2:E4)</f>
        <v>0</v>
      </c>
      <c r="F5" s="6">
        <f>SUM(F2:F4)</f>
        <v>0</v>
      </c>
      <c r="G5" s="6">
        <f>SUM(G2:G4)</f>
        <v>0</v>
      </c>
      <c r="H5" s="63">
        <f>SUM(H2:H4)</f>
        <v>0</v>
      </c>
      <c r="I5" s="90">
        <f>IF(G5=0,0,(1-(F5/G5)))</f>
        <v>0</v>
      </c>
      <c r="J5" s="63">
        <f>SUM(J2:J4)</f>
        <v>22188.09</v>
      </c>
      <c r="K5" s="63">
        <f>SUM(K2:K4)</f>
        <v>0</v>
      </c>
      <c r="L5" s="63">
        <f>SUM(L2:L4)</f>
        <v>0</v>
      </c>
      <c r="M5" s="63">
        <f>SUM(M2:M4)</f>
        <v>0</v>
      </c>
      <c r="N5" s="63">
        <f>SUM(N2:N4)</f>
        <v>0</v>
      </c>
      <c r="O5" s="90">
        <f>IF(M5=0,0,(1-(L5/M5)))</f>
        <v>0</v>
      </c>
      <c r="P5" s="63">
        <f t="shared" ref="P5:U5" si="0">SUM(P2:P4)</f>
        <v>20341</v>
      </c>
      <c r="Q5" s="63">
        <f t="shared" si="0"/>
        <v>750.77</v>
      </c>
      <c r="R5" s="63">
        <f t="shared" si="0"/>
        <v>5169.8500000000004</v>
      </c>
      <c r="S5" s="63">
        <f t="shared" si="0"/>
        <v>4044.08</v>
      </c>
      <c r="T5" s="63">
        <f t="shared" si="0"/>
        <v>5085.8</v>
      </c>
      <c r="U5" s="63">
        <f t="shared" si="0"/>
        <v>1041.72</v>
      </c>
      <c r="V5" s="90">
        <f>IF(T5=0,0,(1-(S5/T5)))</f>
        <v>0.20482913209327935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96B56-BB2F-484B-8F7B-4CB023040FC2}">
  <sheetPr codeName="Sheet18"/>
  <dimension ref="A1:C1"/>
  <sheetViews>
    <sheetView workbookViewId="0">
      <selection activeCell="B2" sqref="B2"/>
    </sheetView>
  </sheetViews>
  <sheetFormatPr defaultRowHeight="15" x14ac:dyDescent="0.25"/>
  <sheetData>
    <row r="1" spans="1:3" x14ac:dyDescent="0.25">
      <c r="A1">
        <v>2026</v>
      </c>
      <c r="B1">
        <v>2025</v>
      </c>
      <c r="C1">
        <v>2024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39997558519241921"/>
    <outlinePr summaryBelow="0"/>
  </sheetPr>
  <dimension ref="A1:V32"/>
  <sheetViews>
    <sheetView zoomScale="90" zoomScaleNormal="90" workbookViewId="0">
      <pane ySplit="1" topLeftCell="A2" activePane="bottomLeft" state="frozen"/>
      <selection pane="bottomLeft" activeCell="B3" sqref="B3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37</v>
      </c>
      <c r="C2" s="68">
        <f>IF(D2=0,0,(D2/(F2/1)))</f>
        <v>0</v>
      </c>
      <c r="D2" s="79">
        <v>0</v>
      </c>
      <c r="E2" s="79">
        <v>0</v>
      </c>
      <c r="F2" s="79">
        <v>0</v>
      </c>
      <c r="G2" s="79">
        <v>0</v>
      </c>
      <c r="H2" s="79">
        <v>0</v>
      </c>
      <c r="I2" s="80">
        <f>IF(G2=0,0,ROUND((1 - F2 / G2), 3))</f>
        <v>0</v>
      </c>
      <c r="J2" s="79">
        <v>0</v>
      </c>
      <c r="K2" s="79">
        <v>0</v>
      </c>
      <c r="L2" s="79">
        <v>0</v>
      </c>
      <c r="M2" s="79">
        <v>0</v>
      </c>
      <c r="N2" s="79">
        <v>0</v>
      </c>
      <c r="O2" s="80">
        <f>IF(M2=0,0,ROUND((1 - L2 / M2), 3))</f>
        <v>0</v>
      </c>
      <c r="P2" s="79">
        <v>0</v>
      </c>
      <c r="Q2" s="79">
        <v>0</v>
      </c>
      <c r="R2" s="79">
        <v>0</v>
      </c>
      <c r="S2" s="79">
        <v>0</v>
      </c>
      <c r="T2" s="79">
        <v>0</v>
      </c>
      <c r="U2" s="79">
        <v>0</v>
      </c>
      <c r="V2" s="80">
        <f>IF(T2=0,0,ROUND((1-S2/T2),3))</f>
        <v>0</v>
      </c>
    </row>
    <row r="3" spans="1:22" x14ac:dyDescent="0.25">
      <c r="A3" s="16" t="s">
        <v>38</v>
      </c>
      <c r="B3" s="17" t="s">
        <v>37</v>
      </c>
      <c r="C3" s="68">
        <f t="shared" ref="C3:C32" si="0">IF(D3=0,0,(D3/(F3/1)))</f>
        <v>229.08540051679583</v>
      </c>
      <c r="D3" s="79">
        <v>17731.21</v>
      </c>
      <c r="E3" s="79">
        <v>0</v>
      </c>
      <c r="F3" s="79">
        <v>77.400000000000006</v>
      </c>
      <c r="G3" s="79">
        <v>109</v>
      </c>
      <c r="H3" s="79">
        <v>31.6</v>
      </c>
      <c r="I3" s="80">
        <f t="shared" ref="I3:I32" si="1">IF(G3=0,0,ROUND((1 - F3 / G3), 3))</f>
        <v>0.28999999999999998</v>
      </c>
      <c r="J3" s="79">
        <v>24710.36</v>
      </c>
      <c r="K3" s="79">
        <v>0</v>
      </c>
      <c r="L3" s="79">
        <v>0</v>
      </c>
      <c r="M3" s="79">
        <v>0</v>
      </c>
      <c r="N3" s="79">
        <v>0</v>
      </c>
      <c r="O3" s="80">
        <f t="shared" ref="O3:O32" si="2">IF(M3=0,0,ROUND((1 - L3 / M3), 3))</f>
        <v>0</v>
      </c>
      <c r="P3" s="79">
        <v>48110</v>
      </c>
      <c r="Q3" s="79">
        <v>9422.64</v>
      </c>
      <c r="R3" s="79">
        <v>0</v>
      </c>
      <c r="S3" s="79">
        <v>0</v>
      </c>
      <c r="T3" s="79">
        <v>0</v>
      </c>
      <c r="U3" s="79">
        <v>0</v>
      </c>
      <c r="V3" s="80">
        <f t="shared" ref="V3:V32" si="3">IF(T3=0,0,ROUND((1-S3/T3),3))</f>
        <v>0</v>
      </c>
    </row>
    <row r="4" spans="1:22" x14ac:dyDescent="0.25">
      <c r="A4" s="16" t="s">
        <v>39</v>
      </c>
      <c r="B4" s="17" t="s">
        <v>37</v>
      </c>
      <c r="C4" s="68">
        <f t="shared" si="0"/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f t="shared" si="2"/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36</v>
      </c>
      <c r="B5" s="19" t="s">
        <v>40</v>
      </c>
      <c r="C5" s="69">
        <f t="shared" si="0"/>
        <v>5.3205644343259024</v>
      </c>
      <c r="D5" s="32">
        <v>70810.86</v>
      </c>
      <c r="E5" s="32">
        <v>11074.35</v>
      </c>
      <c r="F5" s="32">
        <v>13308.9</v>
      </c>
      <c r="G5" s="32">
        <v>19751.900000000001</v>
      </c>
      <c r="H5" s="32">
        <v>6443</v>
      </c>
      <c r="I5" s="81">
        <f t="shared" si="1"/>
        <v>0.32600000000000001</v>
      </c>
      <c r="J5" s="32">
        <v>62944.38</v>
      </c>
      <c r="K5" s="32">
        <v>42078.58</v>
      </c>
      <c r="L5" s="32">
        <v>20308.27</v>
      </c>
      <c r="M5" s="32">
        <v>30765.74</v>
      </c>
      <c r="N5" s="32">
        <v>10457.469999999999</v>
      </c>
      <c r="O5" s="81">
        <f t="shared" si="2"/>
        <v>0.34</v>
      </c>
      <c r="P5" s="32">
        <v>534137</v>
      </c>
      <c r="Q5" s="32">
        <v>60305.99</v>
      </c>
      <c r="R5" s="32">
        <v>23338.6</v>
      </c>
      <c r="S5" s="32">
        <v>23614.35</v>
      </c>
      <c r="T5" s="32">
        <v>35165.31</v>
      </c>
      <c r="U5" s="32">
        <v>11550.96</v>
      </c>
      <c r="V5" s="81">
        <f t="shared" si="3"/>
        <v>0.32800000000000001</v>
      </c>
    </row>
    <row r="6" spans="1:22" x14ac:dyDescent="0.25">
      <c r="A6" s="18" t="s">
        <v>38</v>
      </c>
      <c r="B6" s="19" t="s">
        <v>40</v>
      </c>
      <c r="C6" s="69">
        <f t="shared" si="0"/>
        <v>3.5193537269680069</v>
      </c>
      <c r="D6" s="32">
        <v>105793.04</v>
      </c>
      <c r="E6" s="32">
        <v>-1690.39</v>
      </c>
      <c r="F6" s="32">
        <v>30060.36</v>
      </c>
      <c r="G6" s="32">
        <v>42818.86</v>
      </c>
      <c r="H6" s="32">
        <v>12758.5</v>
      </c>
      <c r="I6" s="81">
        <f t="shared" si="1"/>
        <v>0.29799999999999999</v>
      </c>
      <c r="J6" s="32">
        <v>117570.38</v>
      </c>
      <c r="K6" s="32">
        <v>22902.82</v>
      </c>
      <c r="L6" s="32">
        <v>14341.16</v>
      </c>
      <c r="M6" s="32">
        <v>21760.82</v>
      </c>
      <c r="N6" s="32">
        <v>7419.66</v>
      </c>
      <c r="O6" s="81">
        <f t="shared" si="2"/>
        <v>0.34100000000000003</v>
      </c>
      <c r="P6" s="32">
        <v>555156</v>
      </c>
      <c r="Q6" s="32">
        <v>107846.75</v>
      </c>
      <c r="R6" s="32">
        <v>23943.53</v>
      </c>
      <c r="S6" s="32">
        <v>25723.4</v>
      </c>
      <c r="T6" s="32">
        <v>36269.800000000003</v>
      </c>
      <c r="U6" s="32">
        <v>10546.4</v>
      </c>
      <c r="V6" s="81">
        <f t="shared" si="3"/>
        <v>0.29099999999999998</v>
      </c>
    </row>
    <row r="7" spans="1:22" x14ac:dyDescent="0.25">
      <c r="A7" s="18" t="s">
        <v>39</v>
      </c>
      <c r="B7" s="19" t="s">
        <v>40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81.22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36</v>
      </c>
      <c r="B8" s="21" t="s">
        <v>41</v>
      </c>
      <c r="C8" s="70">
        <f t="shared" si="0"/>
        <v>4.3302013625583466</v>
      </c>
      <c r="D8" s="33">
        <v>2866.55</v>
      </c>
      <c r="E8" s="33">
        <v>-313.73</v>
      </c>
      <c r="F8" s="33">
        <v>661.99</v>
      </c>
      <c r="G8" s="33">
        <v>1114.58</v>
      </c>
      <c r="H8" s="33">
        <v>452.59</v>
      </c>
      <c r="I8" s="82">
        <f t="shared" si="1"/>
        <v>0.40600000000000003</v>
      </c>
      <c r="J8" s="33">
        <v>2675.11</v>
      </c>
      <c r="K8" s="33">
        <v>0</v>
      </c>
      <c r="L8" s="33">
        <v>27.21</v>
      </c>
      <c r="M8" s="33">
        <v>49.71</v>
      </c>
      <c r="N8" s="33">
        <v>22.5</v>
      </c>
      <c r="O8" s="82">
        <f t="shared" si="2"/>
        <v>0.45300000000000001</v>
      </c>
      <c r="P8" s="33">
        <v>16395</v>
      </c>
      <c r="Q8" s="33">
        <v>2334.0100000000002</v>
      </c>
      <c r="R8" s="33">
        <v>27.84</v>
      </c>
      <c r="S8" s="33">
        <v>1812.79</v>
      </c>
      <c r="T8" s="33">
        <v>2702.68</v>
      </c>
      <c r="U8" s="33">
        <v>889.89</v>
      </c>
      <c r="V8" s="82">
        <f t="shared" si="3"/>
        <v>0.32900000000000001</v>
      </c>
    </row>
    <row r="9" spans="1:22" x14ac:dyDescent="0.25">
      <c r="A9" s="20" t="s">
        <v>38</v>
      </c>
      <c r="B9" s="21" t="s">
        <v>41</v>
      </c>
      <c r="C9" s="70">
        <f t="shared" si="0"/>
        <v>4.0362697317536211</v>
      </c>
      <c r="D9" s="33">
        <v>36738.449999999997</v>
      </c>
      <c r="E9" s="33">
        <v>21913.98</v>
      </c>
      <c r="F9" s="33">
        <v>9102.08</v>
      </c>
      <c r="G9" s="33">
        <v>11751.63</v>
      </c>
      <c r="H9" s="33">
        <v>2649.55</v>
      </c>
      <c r="I9" s="82">
        <f t="shared" si="1"/>
        <v>0.22500000000000001</v>
      </c>
      <c r="J9" s="33">
        <v>24230.97</v>
      </c>
      <c r="K9" s="33">
        <v>0</v>
      </c>
      <c r="L9" s="33">
        <v>786.39</v>
      </c>
      <c r="M9" s="33">
        <v>1079.67</v>
      </c>
      <c r="N9" s="33">
        <v>293.27999999999997</v>
      </c>
      <c r="O9" s="82">
        <f t="shared" si="2"/>
        <v>0.27200000000000002</v>
      </c>
      <c r="P9" s="33">
        <v>92584</v>
      </c>
      <c r="Q9" s="33">
        <v>22172.87</v>
      </c>
      <c r="R9" s="33">
        <v>7951.14</v>
      </c>
      <c r="S9" s="33">
        <v>2455.7600000000002</v>
      </c>
      <c r="T9" s="33">
        <v>3464.25</v>
      </c>
      <c r="U9" s="33">
        <v>1008.49</v>
      </c>
      <c r="V9" s="82">
        <f t="shared" si="3"/>
        <v>0.29099999999999998</v>
      </c>
    </row>
    <row r="10" spans="1:22" x14ac:dyDescent="0.25">
      <c r="A10" s="20" t="s">
        <v>39</v>
      </c>
      <c r="B10" s="21" t="s">
        <v>41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36</v>
      </c>
      <c r="B11" s="23" t="s">
        <v>42</v>
      </c>
      <c r="C11" s="71">
        <f t="shared" si="0"/>
        <v>4.6610488777853893</v>
      </c>
      <c r="D11" s="34">
        <v>4626.93</v>
      </c>
      <c r="E11" s="34">
        <v>784.41</v>
      </c>
      <c r="F11" s="34">
        <v>992.68</v>
      </c>
      <c r="G11" s="34">
        <v>1419.15</v>
      </c>
      <c r="H11" s="34">
        <v>426.47</v>
      </c>
      <c r="I11" s="83">
        <f t="shared" si="1"/>
        <v>0.30099999999999999</v>
      </c>
      <c r="J11" s="34">
        <v>5027.9399999999996</v>
      </c>
      <c r="K11" s="34">
        <v>844.07</v>
      </c>
      <c r="L11" s="34">
        <v>1138.4000000000001</v>
      </c>
      <c r="M11" s="34">
        <v>1699.73</v>
      </c>
      <c r="N11" s="34">
        <v>561.33000000000004</v>
      </c>
      <c r="O11" s="83">
        <f t="shared" si="2"/>
        <v>0.33</v>
      </c>
      <c r="P11" s="34">
        <v>24921</v>
      </c>
      <c r="Q11" s="34">
        <v>7037.86</v>
      </c>
      <c r="R11" s="34">
        <v>795.96</v>
      </c>
      <c r="S11" s="34">
        <v>1154.71</v>
      </c>
      <c r="T11" s="34">
        <v>1695</v>
      </c>
      <c r="U11" s="34">
        <v>540.29</v>
      </c>
      <c r="V11" s="83">
        <f t="shared" si="3"/>
        <v>0.31900000000000001</v>
      </c>
    </row>
    <row r="12" spans="1:22" x14ac:dyDescent="0.25">
      <c r="A12" s="22" t="s">
        <v>38</v>
      </c>
      <c r="B12" s="23" t="s">
        <v>42</v>
      </c>
      <c r="C12" s="71">
        <f t="shared" si="0"/>
        <v>21.745070939598765</v>
      </c>
      <c r="D12" s="34">
        <v>10069.49</v>
      </c>
      <c r="E12" s="34">
        <v>-689.61</v>
      </c>
      <c r="F12" s="34">
        <v>463.07</v>
      </c>
      <c r="G12" s="34">
        <v>636.21</v>
      </c>
      <c r="H12" s="34">
        <v>173.14</v>
      </c>
      <c r="I12" s="83">
        <f t="shared" si="1"/>
        <v>0.27200000000000002</v>
      </c>
      <c r="J12" s="34">
        <v>10127.84</v>
      </c>
      <c r="K12" s="34">
        <v>-844.1</v>
      </c>
      <c r="L12" s="34">
        <v>709.08</v>
      </c>
      <c r="M12" s="34">
        <v>900.76</v>
      </c>
      <c r="N12" s="34">
        <v>191.68</v>
      </c>
      <c r="O12" s="83">
        <f t="shared" si="2"/>
        <v>0.21299999999999999</v>
      </c>
      <c r="P12" s="34">
        <v>36411</v>
      </c>
      <c r="Q12" s="34">
        <v>5528.4</v>
      </c>
      <c r="R12" s="34">
        <v>166.47</v>
      </c>
      <c r="S12" s="34">
        <v>1676.96</v>
      </c>
      <c r="T12" s="34">
        <v>2408.9</v>
      </c>
      <c r="U12" s="34">
        <v>731.94</v>
      </c>
      <c r="V12" s="83">
        <f t="shared" si="3"/>
        <v>0.30399999999999999</v>
      </c>
    </row>
    <row r="13" spans="1:22" x14ac:dyDescent="0.25">
      <c r="A13" s="22" t="s">
        <v>39</v>
      </c>
      <c r="B13" s="23" t="s">
        <v>42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36</v>
      </c>
      <c r="B14" s="25" t="s">
        <v>43</v>
      </c>
      <c r="C14" s="72">
        <f t="shared" si="0"/>
        <v>1.6018645681192276</v>
      </c>
      <c r="D14" s="35">
        <v>2204.4699999999998</v>
      </c>
      <c r="E14" s="35">
        <v>1002.68</v>
      </c>
      <c r="F14" s="35">
        <v>1376.19</v>
      </c>
      <c r="G14" s="35">
        <v>2043.92</v>
      </c>
      <c r="H14" s="35">
        <v>667.73</v>
      </c>
      <c r="I14" s="84">
        <f t="shared" si="1"/>
        <v>0.32700000000000001</v>
      </c>
      <c r="J14" s="35">
        <v>1750.97</v>
      </c>
      <c r="K14" s="35">
        <v>2207.19</v>
      </c>
      <c r="L14" s="35">
        <v>1969.88</v>
      </c>
      <c r="M14" s="35">
        <v>2842.84</v>
      </c>
      <c r="N14" s="35">
        <v>872.96</v>
      </c>
      <c r="O14" s="84">
        <f t="shared" si="2"/>
        <v>0.307</v>
      </c>
      <c r="P14" s="35">
        <v>22642</v>
      </c>
      <c r="Q14" s="35">
        <v>2612.14</v>
      </c>
      <c r="R14" s="35">
        <v>1159.98</v>
      </c>
      <c r="S14" s="35">
        <v>1113.3599999999999</v>
      </c>
      <c r="T14" s="35">
        <v>1548.36</v>
      </c>
      <c r="U14" s="35">
        <v>435</v>
      </c>
      <c r="V14" s="84">
        <f t="shared" si="3"/>
        <v>0.28100000000000003</v>
      </c>
    </row>
    <row r="15" spans="1:22" x14ac:dyDescent="0.25">
      <c r="A15" s="24" t="s">
        <v>38</v>
      </c>
      <c r="B15" s="25" t="s">
        <v>43</v>
      </c>
      <c r="C15" s="72">
        <f t="shared" si="0"/>
        <v>1.884104908476012</v>
      </c>
      <c r="D15" s="35">
        <v>3025.1</v>
      </c>
      <c r="E15" s="35">
        <v>763.68</v>
      </c>
      <c r="F15" s="35">
        <v>1605.59</v>
      </c>
      <c r="G15" s="35">
        <v>2272.33</v>
      </c>
      <c r="H15" s="35">
        <v>666.74</v>
      </c>
      <c r="I15" s="84">
        <f t="shared" si="1"/>
        <v>0.29299999999999998</v>
      </c>
      <c r="J15" s="35">
        <v>4285.67</v>
      </c>
      <c r="K15" s="35">
        <v>3799.02</v>
      </c>
      <c r="L15" s="35">
        <v>1865.06</v>
      </c>
      <c r="M15" s="35">
        <v>2482.7800000000002</v>
      </c>
      <c r="N15" s="35">
        <v>617.72</v>
      </c>
      <c r="O15" s="84">
        <f t="shared" si="2"/>
        <v>0.249</v>
      </c>
      <c r="P15" s="35">
        <v>19990</v>
      </c>
      <c r="Q15" s="35">
        <v>8176.83</v>
      </c>
      <c r="R15" s="35">
        <v>-250.5</v>
      </c>
      <c r="S15" s="35">
        <v>88.68</v>
      </c>
      <c r="T15" s="35">
        <v>142.07</v>
      </c>
      <c r="U15" s="35">
        <v>53.39</v>
      </c>
      <c r="V15" s="84">
        <f t="shared" si="3"/>
        <v>0.376</v>
      </c>
    </row>
    <row r="16" spans="1:22" x14ac:dyDescent="0.25">
      <c r="A16" s="24" t="s">
        <v>39</v>
      </c>
      <c r="B16" s="25" t="s">
        <v>43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36</v>
      </c>
      <c r="B17" s="27" t="s">
        <v>44</v>
      </c>
      <c r="C17" s="73">
        <f t="shared" si="0"/>
        <v>1.2463541183896325</v>
      </c>
      <c r="D17" s="36">
        <v>11294.81</v>
      </c>
      <c r="E17" s="36">
        <v>7817.7</v>
      </c>
      <c r="F17" s="36">
        <v>9062.2800000000007</v>
      </c>
      <c r="G17" s="36">
        <v>13895.57</v>
      </c>
      <c r="H17" s="36">
        <v>4833.29</v>
      </c>
      <c r="I17" s="85">
        <f t="shared" si="1"/>
        <v>0.34799999999999998</v>
      </c>
      <c r="J17" s="36">
        <v>15455.14</v>
      </c>
      <c r="K17" s="36">
        <v>12487.1</v>
      </c>
      <c r="L17" s="36">
        <v>6874.01</v>
      </c>
      <c r="M17" s="36">
        <v>10931.18</v>
      </c>
      <c r="N17" s="36">
        <v>4057.17</v>
      </c>
      <c r="O17" s="85">
        <f t="shared" si="2"/>
        <v>0.371</v>
      </c>
      <c r="P17" s="36">
        <v>93057</v>
      </c>
      <c r="Q17" s="36">
        <v>12089.75</v>
      </c>
      <c r="R17" s="36">
        <v>8782.61</v>
      </c>
      <c r="S17" s="36">
        <v>6591.67</v>
      </c>
      <c r="T17" s="36">
        <v>10106.370000000001</v>
      </c>
      <c r="U17" s="36">
        <v>3514.7</v>
      </c>
      <c r="V17" s="85">
        <f t="shared" si="3"/>
        <v>0.34799999999999998</v>
      </c>
    </row>
    <row r="18" spans="1:22" x14ac:dyDescent="0.25">
      <c r="A18" s="26" t="s">
        <v>38</v>
      </c>
      <c r="B18" s="27" t="s">
        <v>44</v>
      </c>
      <c r="C18" s="73">
        <f t="shared" si="0"/>
        <v>3.6155331534857305</v>
      </c>
      <c r="D18" s="36">
        <v>11458.89</v>
      </c>
      <c r="E18" s="36">
        <v>-1015.56</v>
      </c>
      <c r="F18" s="36">
        <v>3169.35</v>
      </c>
      <c r="G18" s="36">
        <v>4600.38</v>
      </c>
      <c r="H18" s="36">
        <v>1431.03</v>
      </c>
      <c r="I18" s="85">
        <f t="shared" si="1"/>
        <v>0.311</v>
      </c>
      <c r="J18" s="36">
        <v>41175.480000000003</v>
      </c>
      <c r="K18" s="36">
        <v>2294.0500000000002</v>
      </c>
      <c r="L18" s="36">
        <v>2289.71</v>
      </c>
      <c r="M18" s="36">
        <v>3395.39</v>
      </c>
      <c r="N18" s="36">
        <v>1105.68</v>
      </c>
      <c r="O18" s="85">
        <f t="shared" si="2"/>
        <v>0.32600000000000001</v>
      </c>
      <c r="P18" s="36">
        <v>34318</v>
      </c>
      <c r="Q18" s="36">
        <v>36269.89</v>
      </c>
      <c r="R18" s="36">
        <v>167.23</v>
      </c>
      <c r="S18" s="36">
        <v>2614.59</v>
      </c>
      <c r="T18" s="36">
        <v>3422.09</v>
      </c>
      <c r="U18" s="36">
        <v>807.5</v>
      </c>
      <c r="V18" s="85">
        <f t="shared" si="3"/>
        <v>0.23599999999999999</v>
      </c>
    </row>
    <row r="19" spans="1:22" x14ac:dyDescent="0.25">
      <c r="A19" s="26" t="s">
        <v>39</v>
      </c>
      <c r="B19" s="27" t="s">
        <v>44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36</v>
      </c>
      <c r="B20" s="29" t="s">
        <v>45</v>
      </c>
      <c r="C20" s="74">
        <f t="shared" si="0"/>
        <v>1.5440260712673577</v>
      </c>
      <c r="D20" s="37">
        <v>11527.22</v>
      </c>
      <c r="E20" s="37">
        <v>814.22</v>
      </c>
      <c r="F20" s="37">
        <v>7465.69</v>
      </c>
      <c r="G20" s="37">
        <v>10067.540000000001</v>
      </c>
      <c r="H20" s="37">
        <v>2601.85</v>
      </c>
      <c r="I20" s="86">
        <f t="shared" si="1"/>
        <v>0.25800000000000001</v>
      </c>
      <c r="J20" s="37">
        <v>10877.7</v>
      </c>
      <c r="K20" s="37">
        <v>1959.87</v>
      </c>
      <c r="L20" s="37">
        <v>3364.47</v>
      </c>
      <c r="M20" s="37">
        <v>4567.74</v>
      </c>
      <c r="N20" s="37">
        <v>1203.27</v>
      </c>
      <c r="O20" s="86">
        <f t="shared" si="2"/>
        <v>0.26300000000000001</v>
      </c>
      <c r="P20" s="37">
        <v>90130</v>
      </c>
      <c r="Q20" s="37">
        <v>7298.78</v>
      </c>
      <c r="R20" s="37">
        <v>2583.96</v>
      </c>
      <c r="S20" s="37">
        <v>5780.84</v>
      </c>
      <c r="T20" s="37">
        <v>7457.92</v>
      </c>
      <c r="U20" s="37">
        <v>1677.08</v>
      </c>
      <c r="V20" s="86">
        <f t="shared" si="3"/>
        <v>0.22500000000000001</v>
      </c>
    </row>
    <row r="21" spans="1:22" x14ac:dyDescent="0.25">
      <c r="A21" s="28" t="s">
        <v>38</v>
      </c>
      <c r="B21" s="29" t="s">
        <v>45</v>
      </c>
      <c r="C21" s="74">
        <f t="shared" si="0"/>
        <v>5.8958518879344508</v>
      </c>
      <c r="D21" s="37">
        <v>16218.84</v>
      </c>
      <c r="E21" s="37">
        <v>3010.62</v>
      </c>
      <c r="F21" s="37">
        <v>2750.89</v>
      </c>
      <c r="G21" s="37">
        <v>3732.23</v>
      </c>
      <c r="H21" s="37">
        <v>981.34</v>
      </c>
      <c r="I21" s="86">
        <f t="shared" si="1"/>
        <v>0.26300000000000001</v>
      </c>
      <c r="J21" s="37">
        <v>12609.24</v>
      </c>
      <c r="K21" s="37">
        <v>-123.05</v>
      </c>
      <c r="L21" s="37">
        <v>2277.96</v>
      </c>
      <c r="M21" s="37">
        <v>3029.75</v>
      </c>
      <c r="N21" s="37">
        <v>751.79</v>
      </c>
      <c r="O21" s="86">
        <f t="shared" si="2"/>
        <v>0.248</v>
      </c>
      <c r="P21" s="37">
        <v>50492</v>
      </c>
      <c r="Q21" s="37">
        <v>18160.91</v>
      </c>
      <c r="R21" s="37">
        <v>5283.65</v>
      </c>
      <c r="S21" s="37">
        <v>4555.13</v>
      </c>
      <c r="T21" s="37">
        <v>6067.17</v>
      </c>
      <c r="U21" s="37">
        <v>1512.04</v>
      </c>
      <c r="V21" s="86">
        <f t="shared" si="3"/>
        <v>0.249</v>
      </c>
    </row>
    <row r="22" spans="1:22" x14ac:dyDescent="0.25">
      <c r="A22" s="28" t="s">
        <v>39</v>
      </c>
      <c r="B22" s="29" t="s">
        <v>45</v>
      </c>
      <c r="C22" s="74">
        <f t="shared" si="0"/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15.48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16" t="s">
        <v>36</v>
      </c>
      <c r="B23" s="17" t="s">
        <v>46</v>
      </c>
      <c r="C23" s="68">
        <f t="shared" si="0"/>
        <v>0</v>
      </c>
      <c r="D23" s="79">
        <v>0</v>
      </c>
      <c r="E23" s="79">
        <v>0</v>
      </c>
      <c r="F23" s="79">
        <v>0</v>
      </c>
      <c r="G23" s="79">
        <v>0</v>
      </c>
      <c r="H23" s="79">
        <v>0</v>
      </c>
      <c r="I23" s="80">
        <f t="shared" si="1"/>
        <v>0</v>
      </c>
      <c r="J23" s="79">
        <v>0</v>
      </c>
      <c r="K23" s="79">
        <v>0</v>
      </c>
      <c r="L23" s="79">
        <v>0</v>
      </c>
      <c r="M23" s="79">
        <v>0</v>
      </c>
      <c r="N23" s="79">
        <v>0</v>
      </c>
      <c r="O23" s="80">
        <f t="shared" si="2"/>
        <v>0</v>
      </c>
      <c r="P23" s="79">
        <v>0</v>
      </c>
      <c r="Q23" s="79">
        <v>0</v>
      </c>
      <c r="R23" s="79">
        <v>0</v>
      </c>
      <c r="S23" s="79">
        <v>0</v>
      </c>
      <c r="T23" s="79">
        <v>0</v>
      </c>
      <c r="U23" s="79">
        <v>0</v>
      </c>
      <c r="V23" s="80">
        <f t="shared" si="3"/>
        <v>0</v>
      </c>
    </row>
    <row r="24" spans="1:22" x14ac:dyDescent="0.25">
      <c r="A24" s="16" t="s">
        <v>38</v>
      </c>
      <c r="B24" s="17" t="s">
        <v>46</v>
      </c>
      <c r="C24" s="68">
        <f t="shared" si="0"/>
        <v>158.24629555466561</v>
      </c>
      <c r="D24" s="79">
        <v>19757.05</v>
      </c>
      <c r="E24" s="79">
        <v>0</v>
      </c>
      <c r="F24" s="79">
        <v>124.85</v>
      </c>
      <c r="G24" s="79">
        <v>156.25</v>
      </c>
      <c r="H24" s="79">
        <v>31.4</v>
      </c>
      <c r="I24" s="80">
        <f t="shared" si="1"/>
        <v>0.20100000000000001</v>
      </c>
      <c r="J24" s="79">
        <v>44776.34</v>
      </c>
      <c r="K24" s="79">
        <v>137.06</v>
      </c>
      <c r="L24" s="79">
        <v>3328.43</v>
      </c>
      <c r="M24" s="79">
        <v>4757.1899999999996</v>
      </c>
      <c r="N24" s="79">
        <v>1428.76</v>
      </c>
      <c r="O24" s="80">
        <f t="shared" si="2"/>
        <v>0.3</v>
      </c>
      <c r="P24" s="79">
        <v>23991</v>
      </c>
      <c r="Q24" s="79">
        <v>65373.79</v>
      </c>
      <c r="R24" s="79">
        <v>2688</v>
      </c>
      <c r="S24" s="79">
        <v>4797.3100000000004</v>
      </c>
      <c r="T24" s="79">
        <v>6195.38</v>
      </c>
      <c r="U24" s="79">
        <v>1398.07</v>
      </c>
      <c r="V24" s="80">
        <f t="shared" si="3"/>
        <v>0.22600000000000001</v>
      </c>
    </row>
    <row r="25" spans="1:22" x14ac:dyDescent="0.25">
      <c r="A25" s="16" t="s">
        <v>39</v>
      </c>
      <c r="B25" s="17" t="s">
        <v>46</v>
      </c>
      <c r="C25" s="68">
        <f t="shared" si="0"/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36</v>
      </c>
      <c r="B26" s="19" t="s">
        <v>47</v>
      </c>
      <c r="C26" s="69" t="e">
        <f t="shared" si="0"/>
        <v>#DIV/0!</v>
      </c>
      <c r="D26" s="32">
        <v>10180.93</v>
      </c>
      <c r="E26" s="32">
        <v>0</v>
      </c>
      <c r="F26" s="32">
        <v>0</v>
      </c>
      <c r="G26" s="32">
        <v>0</v>
      </c>
      <c r="H26" s="32">
        <v>0</v>
      </c>
      <c r="I26" s="81">
        <f t="shared" si="1"/>
        <v>0</v>
      </c>
      <c r="J26" s="32">
        <v>42023.66</v>
      </c>
      <c r="K26" s="32">
        <v>39501.79</v>
      </c>
      <c r="L26" s="32">
        <v>0</v>
      </c>
      <c r="M26" s="32">
        <v>0</v>
      </c>
      <c r="N26" s="32">
        <v>0</v>
      </c>
      <c r="O26" s="81">
        <f t="shared" si="2"/>
        <v>0</v>
      </c>
      <c r="P26" s="32">
        <v>48508</v>
      </c>
      <c r="Q26" s="32">
        <v>1533.73</v>
      </c>
      <c r="R26" s="32">
        <v>350</v>
      </c>
      <c r="S26" s="32">
        <v>769.92</v>
      </c>
      <c r="T26" s="32">
        <v>1460</v>
      </c>
      <c r="U26" s="32">
        <v>690.08</v>
      </c>
      <c r="V26" s="81">
        <f t="shared" si="3"/>
        <v>0.47299999999999998</v>
      </c>
    </row>
    <row r="27" spans="1:22" x14ac:dyDescent="0.25">
      <c r="A27" s="18" t="s">
        <v>38</v>
      </c>
      <c r="B27" s="19" t="s">
        <v>47</v>
      </c>
      <c r="C27" s="69">
        <f t="shared" si="0"/>
        <v>58.855748166492056</v>
      </c>
      <c r="D27" s="32">
        <v>12358.53</v>
      </c>
      <c r="E27" s="32">
        <v>0</v>
      </c>
      <c r="F27" s="32">
        <v>209.98</v>
      </c>
      <c r="G27" s="32">
        <v>380</v>
      </c>
      <c r="H27" s="32">
        <v>170.02</v>
      </c>
      <c r="I27" s="81">
        <f t="shared" si="1"/>
        <v>0.44700000000000001</v>
      </c>
      <c r="J27" s="32">
        <v>4940</v>
      </c>
      <c r="K27" s="32">
        <v>-419.96</v>
      </c>
      <c r="L27" s="32">
        <v>0</v>
      </c>
      <c r="M27" s="32">
        <v>0</v>
      </c>
      <c r="N27" s="32">
        <v>0</v>
      </c>
      <c r="O27" s="81">
        <f t="shared" si="2"/>
        <v>0</v>
      </c>
      <c r="P27" s="32">
        <v>9740</v>
      </c>
      <c r="Q27" s="32">
        <v>11999.04</v>
      </c>
      <c r="R27" s="32">
        <v>0</v>
      </c>
      <c r="S27" s="32">
        <v>0</v>
      </c>
      <c r="T27" s="32">
        <v>0</v>
      </c>
      <c r="U27" s="32">
        <v>0</v>
      </c>
      <c r="V27" s="81">
        <f t="shared" si="3"/>
        <v>0</v>
      </c>
    </row>
    <row r="28" spans="1:22" x14ac:dyDescent="0.25">
      <c r="A28" s="18" t="s">
        <v>39</v>
      </c>
      <c r="B28" s="19" t="s">
        <v>47</v>
      </c>
      <c r="C28" s="69">
        <f t="shared" si="0"/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835.75</v>
      </c>
      <c r="K28" s="32">
        <v>0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x14ac:dyDescent="0.25">
      <c r="A29" s="20" t="s">
        <v>36</v>
      </c>
      <c r="B29" s="21" t="s">
        <v>48</v>
      </c>
      <c r="C29" s="70">
        <f t="shared" si="0"/>
        <v>5.8308190004773754</v>
      </c>
      <c r="D29" s="33">
        <v>12580.75</v>
      </c>
      <c r="E29" s="33">
        <v>1905.82</v>
      </c>
      <c r="F29" s="33">
        <v>2157.63</v>
      </c>
      <c r="G29" s="33">
        <v>2898.22</v>
      </c>
      <c r="H29" s="33">
        <v>740.59</v>
      </c>
      <c r="I29" s="82">
        <f t="shared" si="1"/>
        <v>0.25600000000000001</v>
      </c>
      <c r="J29" s="33">
        <v>11687.15</v>
      </c>
      <c r="K29" s="33">
        <v>-437.45</v>
      </c>
      <c r="L29" s="33">
        <v>683.47</v>
      </c>
      <c r="M29" s="33">
        <v>945.37</v>
      </c>
      <c r="N29" s="33">
        <v>261.89999999999998</v>
      </c>
      <c r="O29" s="82">
        <f t="shared" si="2"/>
        <v>0.27700000000000002</v>
      </c>
      <c r="P29" s="33">
        <v>68418</v>
      </c>
      <c r="Q29" s="33">
        <v>11890.8</v>
      </c>
      <c r="R29" s="33">
        <v>359.52</v>
      </c>
      <c r="S29" s="33">
        <v>993.19</v>
      </c>
      <c r="T29" s="33">
        <v>1419.13</v>
      </c>
      <c r="U29" s="33">
        <v>425.94</v>
      </c>
      <c r="V29" s="82">
        <f t="shared" si="3"/>
        <v>0.3</v>
      </c>
    </row>
    <row r="30" spans="1:22" x14ac:dyDescent="0.25">
      <c r="A30" s="20" t="s">
        <v>38</v>
      </c>
      <c r="B30" s="21" t="s">
        <v>48</v>
      </c>
      <c r="C30" s="70">
        <f t="shared" si="0"/>
        <v>4.0887704689188045</v>
      </c>
      <c r="D30" s="33">
        <v>101051.1</v>
      </c>
      <c r="E30" s="33">
        <v>52739.11</v>
      </c>
      <c r="F30" s="33">
        <v>24714.3</v>
      </c>
      <c r="G30" s="33">
        <v>31338.83</v>
      </c>
      <c r="H30" s="33">
        <v>6624.53</v>
      </c>
      <c r="I30" s="82">
        <f t="shared" si="1"/>
        <v>0.21099999999999999</v>
      </c>
      <c r="J30" s="33">
        <v>91515.93</v>
      </c>
      <c r="K30" s="33">
        <v>24670.09</v>
      </c>
      <c r="L30" s="33">
        <v>8164.79</v>
      </c>
      <c r="M30" s="33">
        <v>10198.59</v>
      </c>
      <c r="N30" s="33">
        <v>2033.8</v>
      </c>
      <c r="O30" s="82">
        <f t="shared" si="2"/>
        <v>0.19900000000000001</v>
      </c>
      <c r="P30" s="33">
        <v>486658</v>
      </c>
      <c r="Q30" s="33">
        <v>102585.57</v>
      </c>
      <c r="R30" s="33">
        <v>46724.480000000003</v>
      </c>
      <c r="S30" s="33">
        <v>26920.05</v>
      </c>
      <c r="T30" s="33">
        <v>35990.5</v>
      </c>
      <c r="U30" s="33">
        <v>9070.4500000000007</v>
      </c>
      <c r="V30" s="82">
        <f t="shared" si="3"/>
        <v>0.252</v>
      </c>
    </row>
    <row r="31" spans="1:22" ht="15.75" thickBot="1" x14ac:dyDescent="0.3">
      <c r="A31" s="30" t="s">
        <v>39</v>
      </c>
      <c r="B31" s="64" t="s">
        <v>48</v>
      </c>
      <c r="C31" s="66">
        <f t="shared" si="0"/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88">
        <f t="shared" si="1"/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88">
        <f t="shared" si="2"/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88">
        <f t="shared" si="3"/>
        <v>0</v>
      </c>
    </row>
    <row r="32" spans="1:22" s="3" customFormat="1" ht="15.75" thickBot="1" x14ac:dyDescent="0.3">
      <c r="A32" s="2"/>
      <c r="B32" s="87" t="s">
        <v>49</v>
      </c>
      <c r="C32" s="89">
        <f t="shared" si="0"/>
        <v>4.2896585685258479</v>
      </c>
      <c r="D32" s="6">
        <f>SUM(D2:D31)</f>
        <v>460294.22</v>
      </c>
      <c r="E32" s="6">
        <f>SUM(E2:E31)</f>
        <v>98117.28</v>
      </c>
      <c r="F32" s="6">
        <f>SUM(F2:F31)</f>
        <v>107303.23000000003</v>
      </c>
      <c r="G32" s="6">
        <f>SUM(G2:G31)</f>
        <v>148986.6</v>
      </c>
      <c r="H32" s="63">
        <f>SUM(H2:H31)</f>
        <v>41683.369999999988</v>
      </c>
      <c r="I32" s="90">
        <f t="shared" si="1"/>
        <v>0.28000000000000003</v>
      </c>
      <c r="J32" s="63">
        <f t="shared" ref="J32:U32" si="4">SUM(J2:J31)</f>
        <v>529301.23</v>
      </c>
      <c r="K32" s="63">
        <f t="shared" si="4"/>
        <v>151072.56</v>
      </c>
      <c r="L32" s="63">
        <f t="shared" si="4"/>
        <v>68128.289999999994</v>
      </c>
      <c r="M32" s="63">
        <f t="shared" si="4"/>
        <v>99407.260000000009</v>
      </c>
      <c r="N32" s="63">
        <f t="shared" si="4"/>
        <v>31278.969999999998</v>
      </c>
      <c r="O32" s="90">
        <f t="shared" si="2"/>
        <v>0.315</v>
      </c>
      <c r="P32" s="63">
        <f t="shared" si="4"/>
        <v>2255658</v>
      </c>
      <c r="Q32" s="63">
        <f t="shared" si="4"/>
        <v>492639.74999999994</v>
      </c>
      <c r="R32" s="63">
        <f t="shared" si="4"/>
        <v>124072.47</v>
      </c>
      <c r="S32" s="63">
        <f t="shared" si="4"/>
        <v>110662.71</v>
      </c>
      <c r="T32" s="63">
        <f t="shared" si="4"/>
        <v>155514.93</v>
      </c>
      <c r="U32" s="63">
        <f t="shared" si="4"/>
        <v>44852.22</v>
      </c>
      <c r="V32" s="90">
        <f t="shared" si="3"/>
        <v>0.28799999999999998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C9693-F097-4E74-BBD3-6A72910C5DA9}">
  <sheetPr codeName="Sheet3">
    <tabColor theme="9" tint="0.79998168889431442"/>
  </sheetPr>
  <dimension ref="A1:V32"/>
  <sheetViews>
    <sheetView zoomScale="90" zoomScaleNormal="90" workbookViewId="0">
      <pane ySplit="1" topLeftCell="A2" activePane="bottomLeft" state="frozen"/>
      <selection pane="bottomLeft" activeCell="B2" sqref="B2"/>
    </sheetView>
  </sheetViews>
  <sheetFormatPr defaultColWidth="9.140625" defaultRowHeight="15" x14ac:dyDescent="0.25"/>
  <cols>
    <col min="1" max="1" width="4.85546875" style="1" customWidth="1"/>
    <col min="2" max="2" width="29.42578125" style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10.710937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50</v>
      </c>
      <c r="C2" s="68">
        <f>IF(D2=0,0,(D2/(F2/1)))</f>
        <v>2.7948296567852853</v>
      </c>
      <c r="D2" s="79">
        <v>3095.19</v>
      </c>
      <c r="E2" s="79">
        <v>1558.87</v>
      </c>
      <c r="F2" s="79">
        <v>1107.47</v>
      </c>
      <c r="G2" s="79">
        <v>2480.27</v>
      </c>
      <c r="H2" s="79">
        <v>1372.8</v>
      </c>
      <c r="I2" s="80">
        <f>IF(G2=0,0,ROUND((1 - F2 / G2), 3))</f>
        <v>0.55300000000000005</v>
      </c>
      <c r="J2" s="79">
        <v>2864.61</v>
      </c>
      <c r="K2" s="79">
        <v>1684.69</v>
      </c>
      <c r="L2" s="79">
        <v>1173.99</v>
      </c>
      <c r="M2" s="79">
        <v>2939.48</v>
      </c>
      <c r="N2" s="79">
        <v>1765.49</v>
      </c>
      <c r="O2" s="80">
        <f>IF(M2=0,0,ROUND((1-L2/M2),3))</f>
        <v>0.60099999999999998</v>
      </c>
      <c r="P2" s="79">
        <v>39164</v>
      </c>
      <c r="Q2" s="79">
        <v>3996.11</v>
      </c>
      <c r="R2" s="79">
        <v>3308.34</v>
      </c>
      <c r="S2" s="79">
        <v>1237.01</v>
      </c>
      <c r="T2" s="79">
        <v>2126.12</v>
      </c>
      <c r="U2" s="79">
        <v>889.11</v>
      </c>
      <c r="V2" s="80">
        <f>IF(T2=0,0,ROUND((1-S2/T2),3))</f>
        <v>0.41799999999999998</v>
      </c>
    </row>
    <row r="3" spans="1:22" x14ac:dyDescent="0.25">
      <c r="A3" s="16" t="s">
        <v>38</v>
      </c>
      <c r="B3" s="17" t="s">
        <v>50</v>
      </c>
      <c r="C3" s="68">
        <f t="shared" ref="C3:C32" si="0">IF(D3=0,0,(D3/(F3/1)))</f>
        <v>379.65774155995348</v>
      </c>
      <c r="D3" s="79">
        <v>6522.52</v>
      </c>
      <c r="E3" s="79">
        <v>0</v>
      </c>
      <c r="F3" s="79">
        <v>17.18</v>
      </c>
      <c r="G3" s="79">
        <v>44.85</v>
      </c>
      <c r="H3" s="79">
        <v>27.67</v>
      </c>
      <c r="I3" s="80">
        <f t="shared" ref="I3:I32" si="1">IF(G3=0,0,ROUND((1 - F3 / G3), 3))</f>
        <v>0.61699999999999999</v>
      </c>
      <c r="J3" s="79">
        <v>6974.24</v>
      </c>
      <c r="K3" s="79">
        <v>69.27</v>
      </c>
      <c r="L3" s="79">
        <v>763.23</v>
      </c>
      <c r="M3" s="79">
        <v>1900.51</v>
      </c>
      <c r="N3" s="79">
        <v>1137.28</v>
      </c>
      <c r="O3" s="80">
        <f t="shared" ref="O3:O32" si="2">IF(M3=0,0,ROUND((1-L3/M3),3))</f>
        <v>0.59799999999999998</v>
      </c>
      <c r="P3" s="79">
        <v>11347</v>
      </c>
      <c r="Q3" s="79">
        <v>6287.06</v>
      </c>
      <c r="R3" s="79">
        <v>-1050.52</v>
      </c>
      <c r="S3" s="79">
        <v>420.05</v>
      </c>
      <c r="T3" s="79">
        <v>925.61</v>
      </c>
      <c r="U3" s="79">
        <v>505.56</v>
      </c>
      <c r="V3" s="80">
        <f t="shared" ref="V3:V32" si="3">IF(T3=0,0,ROUND((1-S3/T3),3))</f>
        <v>0.54600000000000004</v>
      </c>
    </row>
    <row r="4" spans="1:22" x14ac:dyDescent="0.25">
      <c r="A4" s="16" t="s">
        <v>39</v>
      </c>
      <c r="B4" s="17" t="s">
        <v>50</v>
      </c>
      <c r="C4" s="68">
        <f t="shared" si="0"/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f t="shared" si="2"/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36</v>
      </c>
      <c r="B5" s="19" t="s">
        <v>51</v>
      </c>
      <c r="C5" s="69">
        <f t="shared" si="0"/>
        <v>1.0961696742585012</v>
      </c>
      <c r="D5" s="32">
        <v>42391.83</v>
      </c>
      <c r="E5" s="32">
        <v>38684.49</v>
      </c>
      <c r="F5" s="32">
        <v>38672.69</v>
      </c>
      <c r="G5" s="32">
        <v>56153.48</v>
      </c>
      <c r="H5" s="32">
        <v>17480.79</v>
      </c>
      <c r="I5" s="81">
        <f t="shared" si="1"/>
        <v>0.311</v>
      </c>
      <c r="J5" s="32">
        <v>33081.49</v>
      </c>
      <c r="K5" s="32">
        <v>19912.990000000002</v>
      </c>
      <c r="L5" s="32">
        <v>26795.41</v>
      </c>
      <c r="M5" s="32">
        <v>38427.86</v>
      </c>
      <c r="N5" s="32">
        <v>11632.45</v>
      </c>
      <c r="O5" s="81">
        <f t="shared" si="2"/>
        <v>0.30299999999999999</v>
      </c>
      <c r="P5" s="32">
        <v>517553</v>
      </c>
      <c r="Q5" s="32">
        <v>37326.28</v>
      </c>
      <c r="R5" s="32">
        <v>44364.44</v>
      </c>
      <c r="S5" s="32">
        <v>43870.23</v>
      </c>
      <c r="T5" s="32">
        <v>57819.83</v>
      </c>
      <c r="U5" s="32">
        <v>13949.6</v>
      </c>
      <c r="V5" s="81">
        <f t="shared" si="3"/>
        <v>0.24099999999999999</v>
      </c>
    </row>
    <row r="6" spans="1:22" x14ac:dyDescent="0.25">
      <c r="A6" s="18" t="s">
        <v>38</v>
      </c>
      <c r="B6" s="19" t="s">
        <v>51</v>
      </c>
      <c r="C6" s="69">
        <f t="shared" si="0"/>
        <v>2.8964198036239392</v>
      </c>
      <c r="D6" s="32">
        <v>76345.600000000006</v>
      </c>
      <c r="E6" s="32">
        <v>5954.11</v>
      </c>
      <c r="F6" s="32">
        <v>26358.61</v>
      </c>
      <c r="G6" s="32">
        <v>35598.61</v>
      </c>
      <c r="H6" s="32">
        <v>9240</v>
      </c>
      <c r="I6" s="81">
        <f t="shared" si="1"/>
        <v>0.26</v>
      </c>
      <c r="J6" s="32">
        <v>140194.22</v>
      </c>
      <c r="K6" s="32">
        <v>25158.03</v>
      </c>
      <c r="L6" s="32">
        <v>33610.230000000003</v>
      </c>
      <c r="M6" s="32">
        <v>43680.78</v>
      </c>
      <c r="N6" s="32">
        <v>10070.549999999999</v>
      </c>
      <c r="O6" s="81">
        <f t="shared" si="2"/>
        <v>0.23100000000000001</v>
      </c>
      <c r="P6" s="32">
        <v>476256</v>
      </c>
      <c r="Q6" s="32">
        <v>99734.17</v>
      </c>
      <c r="R6" s="32">
        <v>-16120.72</v>
      </c>
      <c r="S6" s="32">
        <v>34972.85</v>
      </c>
      <c r="T6" s="32">
        <v>44777.63</v>
      </c>
      <c r="U6" s="32">
        <v>9804.7800000000007</v>
      </c>
      <c r="V6" s="81">
        <f t="shared" si="3"/>
        <v>0.219</v>
      </c>
    </row>
    <row r="7" spans="1:22" x14ac:dyDescent="0.25">
      <c r="A7" s="18" t="s">
        <v>39</v>
      </c>
      <c r="B7" s="19" t="s">
        <v>51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36</v>
      </c>
      <c r="B8" s="21" t="s">
        <v>52</v>
      </c>
      <c r="C8" s="70">
        <f t="shared" si="0"/>
        <v>1.3564070380313311</v>
      </c>
      <c r="D8" s="33">
        <v>10741.74</v>
      </c>
      <c r="E8" s="33">
        <v>9277.43</v>
      </c>
      <c r="F8" s="33">
        <v>7919.26</v>
      </c>
      <c r="G8" s="33">
        <v>14732.29</v>
      </c>
      <c r="H8" s="33">
        <v>6813.03</v>
      </c>
      <c r="I8" s="82">
        <f t="shared" si="1"/>
        <v>0.46200000000000002</v>
      </c>
      <c r="J8" s="33">
        <v>12749.1</v>
      </c>
      <c r="K8" s="33">
        <v>11300.84</v>
      </c>
      <c r="L8" s="33">
        <v>7643.03</v>
      </c>
      <c r="M8" s="33">
        <v>13743.7</v>
      </c>
      <c r="N8" s="33">
        <v>6100.67</v>
      </c>
      <c r="O8" s="82">
        <f t="shared" si="2"/>
        <v>0.44400000000000001</v>
      </c>
      <c r="P8" s="33">
        <v>224083</v>
      </c>
      <c r="Q8" s="33">
        <v>8146.52</v>
      </c>
      <c r="R8" s="33">
        <v>0</v>
      </c>
      <c r="S8" s="33">
        <v>5304.6</v>
      </c>
      <c r="T8" s="33">
        <v>9033.9</v>
      </c>
      <c r="U8" s="33">
        <v>3729.3</v>
      </c>
      <c r="V8" s="82">
        <f t="shared" si="3"/>
        <v>0.41299999999999998</v>
      </c>
    </row>
    <row r="9" spans="1:22" x14ac:dyDescent="0.25">
      <c r="A9" s="20" t="s">
        <v>38</v>
      </c>
      <c r="B9" s="21" t="s">
        <v>52</v>
      </c>
      <c r="C9" s="70">
        <f t="shared" si="0"/>
        <v>0</v>
      </c>
      <c r="D9" s="33">
        <v>0</v>
      </c>
      <c r="E9" s="33">
        <v>1142.92</v>
      </c>
      <c r="F9" s="33">
        <v>1251.72</v>
      </c>
      <c r="G9" s="33">
        <v>2086.02</v>
      </c>
      <c r="H9" s="33">
        <v>834.3</v>
      </c>
      <c r="I9" s="82">
        <f t="shared" si="1"/>
        <v>0.4</v>
      </c>
      <c r="J9" s="33">
        <v>592.55999999999995</v>
      </c>
      <c r="K9" s="33">
        <v>3591.48</v>
      </c>
      <c r="L9" s="33">
        <v>3596.52</v>
      </c>
      <c r="M9" s="33">
        <v>5178.4399999999996</v>
      </c>
      <c r="N9" s="33">
        <v>1581.92</v>
      </c>
      <c r="O9" s="82">
        <f t="shared" si="2"/>
        <v>0.30499999999999999</v>
      </c>
      <c r="P9" s="33">
        <v>84612</v>
      </c>
      <c r="Q9" s="33">
        <v>28176.05</v>
      </c>
      <c r="R9" s="33">
        <v>26414.97</v>
      </c>
      <c r="S9" s="33">
        <v>36034.050000000003</v>
      </c>
      <c r="T9" s="33">
        <v>46916.160000000003</v>
      </c>
      <c r="U9" s="33">
        <v>10882.11</v>
      </c>
      <c r="V9" s="82">
        <f t="shared" si="3"/>
        <v>0.23200000000000001</v>
      </c>
    </row>
    <row r="10" spans="1:22" x14ac:dyDescent="0.25">
      <c r="A10" s="20" t="s">
        <v>39</v>
      </c>
      <c r="B10" s="21" t="s">
        <v>52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36</v>
      </c>
      <c r="B11" s="23" t="s">
        <v>53</v>
      </c>
      <c r="C11" s="71">
        <f t="shared" si="0"/>
        <v>0.889344384720409</v>
      </c>
      <c r="D11" s="34">
        <v>40490</v>
      </c>
      <c r="E11" s="34">
        <v>50532.15</v>
      </c>
      <c r="F11" s="34">
        <v>45527.92</v>
      </c>
      <c r="G11" s="34">
        <v>70761.89</v>
      </c>
      <c r="H11" s="34">
        <v>25233.97</v>
      </c>
      <c r="I11" s="83">
        <f t="shared" si="1"/>
        <v>0.35699999999999998</v>
      </c>
      <c r="J11" s="34">
        <v>31138.97</v>
      </c>
      <c r="K11" s="34">
        <v>33119.870000000003</v>
      </c>
      <c r="L11" s="34">
        <v>31178.92</v>
      </c>
      <c r="M11" s="34">
        <v>46880.17</v>
      </c>
      <c r="N11" s="34">
        <v>15701.25</v>
      </c>
      <c r="O11" s="83">
        <f t="shared" si="2"/>
        <v>0.33500000000000002</v>
      </c>
      <c r="P11" s="34">
        <v>559413</v>
      </c>
      <c r="Q11" s="34">
        <v>28880.89</v>
      </c>
      <c r="R11" s="34">
        <v>33993.74</v>
      </c>
      <c r="S11" s="34">
        <v>35163.279999999999</v>
      </c>
      <c r="T11" s="34">
        <v>49066.27</v>
      </c>
      <c r="U11" s="34">
        <v>13902.99</v>
      </c>
      <c r="V11" s="83">
        <f t="shared" si="3"/>
        <v>0.28299999999999997</v>
      </c>
    </row>
    <row r="12" spans="1:22" x14ac:dyDescent="0.25">
      <c r="A12" s="22" t="s">
        <v>38</v>
      </c>
      <c r="B12" s="23" t="s">
        <v>53</v>
      </c>
      <c r="C12" s="71">
        <f t="shared" si="0"/>
        <v>4.5101947521143027</v>
      </c>
      <c r="D12" s="34">
        <v>116418.5</v>
      </c>
      <c r="E12" s="34">
        <v>80284.61</v>
      </c>
      <c r="F12" s="34">
        <v>25812.3</v>
      </c>
      <c r="G12" s="34">
        <v>35887.49</v>
      </c>
      <c r="H12" s="34">
        <v>10075.19</v>
      </c>
      <c r="I12" s="83">
        <f t="shared" si="1"/>
        <v>0.28100000000000003</v>
      </c>
      <c r="J12" s="34">
        <v>91385.13</v>
      </c>
      <c r="K12" s="34">
        <v>43550.62</v>
      </c>
      <c r="L12" s="34">
        <v>24985.25</v>
      </c>
      <c r="M12" s="34">
        <v>32714.69</v>
      </c>
      <c r="N12" s="34">
        <v>7729.44</v>
      </c>
      <c r="O12" s="83">
        <f t="shared" si="2"/>
        <v>0.23599999999999999</v>
      </c>
      <c r="P12" s="34">
        <v>480639</v>
      </c>
      <c r="Q12" s="34">
        <v>58571.98</v>
      </c>
      <c r="R12" s="34">
        <v>14276.32</v>
      </c>
      <c r="S12" s="34">
        <v>42188.12</v>
      </c>
      <c r="T12" s="34">
        <v>55276.27</v>
      </c>
      <c r="U12" s="34">
        <v>13088.15</v>
      </c>
      <c r="V12" s="83">
        <f t="shared" si="3"/>
        <v>0.23699999999999999</v>
      </c>
    </row>
    <row r="13" spans="1:22" x14ac:dyDescent="0.25">
      <c r="A13" s="22" t="s">
        <v>39</v>
      </c>
      <c r="B13" s="23" t="s">
        <v>53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36</v>
      </c>
      <c r="B14" s="25" t="s">
        <v>54</v>
      </c>
      <c r="C14" s="72">
        <f t="shared" si="0"/>
        <v>2.0477960370554742</v>
      </c>
      <c r="D14" s="35">
        <v>13493.01</v>
      </c>
      <c r="E14" s="35">
        <v>7350.48</v>
      </c>
      <c r="F14" s="35">
        <v>6589.04</v>
      </c>
      <c r="G14" s="35">
        <v>10916.25</v>
      </c>
      <c r="H14" s="35">
        <v>4327.21</v>
      </c>
      <c r="I14" s="84">
        <f t="shared" si="1"/>
        <v>0.39600000000000002</v>
      </c>
      <c r="J14" s="35">
        <v>10402.64</v>
      </c>
      <c r="K14" s="35">
        <v>8617.5300000000007</v>
      </c>
      <c r="L14" s="35">
        <v>9206.92</v>
      </c>
      <c r="M14" s="35">
        <v>15216.5</v>
      </c>
      <c r="N14" s="35">
        <v>6009.58</v>
      </c>
      <c r="O14" s="84">
        <f t="shared" si="2"/>
        <v>0.39500000000000002</v>
      </c>
      <c r="P14" s="35">
        <v>120798</v>
      </c>
      <c r="Q14" s="35">
        <v>6799.26</v>
      </c>
      <c r="R14" s="35">
        <v>3001.72</v>
      </c>
      <c r="S14" s="35">
        <v>4960.83</v>
      </c>
      <c r="T14" s="35">
        <v>7302.5</v>
      </c>
      <c r="U14" s="35">
        <v>2341.67</v>
      </c>
      <c r="V14" s="84">
        <f t="shared" si="3"/>
        <v>0.32100000000000001</v>
      </c>
    </row>
    <row r="15" spans="1:22" x14ac:dyDescent="0.25">
      <c r="A15" s="24" t="s">
        <v>38</v>
      </c>
      <c r="B15" s="25" t="s">
        <v>54</v>
      </c>
      <c r="C15" s="72">
        <f t="shared" si="0"/>
        <v>1.7436653141383418</v>
      </c>
      <c r="D15" s="35">
        <v>24718.06</v>
      </c>
      <c r="E15" s="35">
        <v>9887.1200000000008</v>
      </c>
      <c r="F15" s="35">
        <v>14175.92</v>
      </c>
      <c r="G15" s="35">
        <v>24974.6</v>
      </c>
      <c r="H15" s="35">
        <v>10798.68</v>
      </c>
      <c r="I15" s="84">
        <f t="shared" si="1"/>
        <v>0.432</v>
      </c>
      <c r="J15" s="35">
        <v>26138.560000000001</v>
      </c>
      <c r="K15" s="35">
        <v>11733.36</v>
      </c>
      <c r="L15" s="35">
        <v>12013.44</v>
      </c>
      <c r="M15" s="35">
        <v>19019.62</v>
      </c>
      <c r="N15" s="35">
        <v>7006.18</v>
      </c>
      <c r="O15" s="84">
        <f t="shared" si="2"/>
        <v>0.36799999999999999</v>
      </c>
      <c r="P15" s="35">
        <v>222215</v>
      </c>
      <c r="Q15" s="35">
        <v>36796.959999999999</v>
      </c>
      <c r="R15" s="35">
        <v>9055.82</v>
      </c>
      <c r="S15" s="35">
        <v>13609.67</v>
      </c>
      <c r="T15" s="35">
        <v>19774.68</v>
      </c>
      <c r="U15" s="35">
        <v>6165.01</v>
      </c>
      <c r="V15" s="84">
        <f t="shared" si="3"/>
        <v>0.312</v>
      </c>
    </row>
    <row r="16" spans="1:22" x14ac:dyDescent="0.25">
      <c r="A16" s="24" t="s">
        <v>39</v>
      </c>
      <c r="B16" s="25" t="s">
        <v>54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36</v>
      </c>
      <c r="B17" s="27" t="s">
        <v>55</v>
      </c>
      <c r="C17" s="73">
        <f t="shared" si="0"/>
        <v>5.5737721303064429</v>
      </c>
      <c r="D17" s="36">
        <v>16729.900000000001</v>
      </c>
      <c r="E17" s="36">
        <v>2524.09</v>
      </c>
      <c r="F17" s="36">
        <v>3001.54</v>
      </c>
      <c r="G17" s="36">
        <v>5415.72</v>
      </c>
      <c r="H17" s="36">
        <v>2414.1799999999998</v>
      </c>
      <c r="I17" s="85">
        <f t="shared" si="1"/>
        <v>0.44600000000000001</v>
      </c>
      <c r="J17" s="36">
        <v>15967.88</v>
      </c>
      <c r="K17" s="36">
        <v>1152.97</v>
      </c>
      <c r="L17" s="36">
        <v>3307.62</v>
      </c>
      <c r="M17" s="36">
        <v>5872.47</v>
      </c>
      <c r="N17" s="36">
        <v>2564.85</v>
      </c>
      <c r="O17" s="85">
        <f t="shared" si="2"/>
        <v>0.437</v>
      </c>
      <c r="P17" s="36">
        <v>113865</v>
      </c>
      <c r="Q17" s="36">
        <v>25401</v>
      </c>
      <c r="R17" s="36">
        <v>2209.9899999999998</v>
      </c>
      <c r="S17" s="36">
        <v>2859.67</v>
      </c>
      <c r="T17" s="36">
        <v>5810.99</v>
      </c>
      <c r="U17" s="36">
        <v>2951.32</v>
      </c>
      <c r="V17" s="85">
        <f t="shared" si="3"/>
        <v>0.50800000000000001</v>
      </c>
    </row>
    <row r="18" spans="1:22" x14ac:dyDescent="0.25">
      <c r="A18" s="26" t="s">
        <v>38</v>
      </c>
      <c r="B18" s="27" t="s">
        <v>55</v>
      </c>
      <c r="C18" s="73">
        <f t="shared" si="0"/>
        <v>7.3726241000619597</v>
      </c>
      <c r="D18" s="36">
        <v>52236.59</v>
      </c>
      <c r="E18" s="36">
        <v>5179.22</v>
      </c>
      <c r="F18" s="36">
        <v>7085.21</v>
      </c>
      <c r="G18" s="36">
        <v>10874.03</v>
      </c>
      <c r="H18" s="36">
        <v>3788.82</v>
      </c>
      <c r="I18" s="85">
        <f t="shared" si="1"/>
        <v>0.34799999999999998</v>
      </c>
      <c r="J18" s="36">
        <v>54796.89</v>
      </c>
      <c r="K18" s="36">
        <v>-38.6</v>
      </c>
      <c r="L18" s="36">
        <v>1271.28</v>
      </c>
      <c r="M18" s="36">
        <v>2301.06</v>
      </c>
      <c r="N18" s="36">
        <v>1029.78</v>
      </c>
      <c r="O18" s="85">
        <f t="shared" si="2"/>
        <v>0.44800000000000001</v>
      </c>
      <c r="P18" s="36">
        <v>95814</v>
      </c>
      <c r="Q18" s="36">
        <v>92464.4</v>
      </c>
      <c r="R18" s="36">
        <v>666.24</v>
      </c>
      <c r="S18" s="36">
        <v>3638.99</v>
      </c>
      <c r="T18" s="36">
        <v>6446.1</v>
      </c>
      <c r="U18" s="36">
        <v>2807.11</v>
      </c>
      <c r="V18" s="85">
        <f t="shared" si="3"/>
        <v>0.435</v>
      </c>
    </row>
    <row r="19" spans="1:22" x14ac:dyDescent="0.25">
      <c r="A19" s="26" t="s">
        <v>39</v>
      </c>
      <c r="B19" s="27" t="s">
        <v>55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36</v>
      </c>
      <c r="B20" s="29" t="s">
        <v>56</v>
      </c>
      <c r="C20" s="74">
        <f t="shared" si="0"/>
        <v>0.9804354452829841</v>
      </c>
      <c r="D20" s="37">
        <v>31841.7</v>
      </c>
      <c r="E20" s="37">
        <v>36441.08</v>
      </c>
      <c r="F20" s="37">
        <v>32477.1</v>
      </c>
      <c r="G20" s="37">
        <v>48157.96</v>
      </c>
      <c r="H20" s="37">
        <v>15680.86</v>
      </c>
      <c r="I20" s="86">
        <f t="shared" si="1"/>
        <v>0.32600000000000001</v>
      </c>
      <c r="J20" s="37">
        <v>22859.48</v>
      </c>
      <c r="K20" s="37">
        <v>22078.7</v>
      </c>
      <c r="L20" s="37">
        <v>18562.400000000001</v>
      </c>
      <c r="M20" s="37">
        <v>29101.759999999998</v>
      </c>
      <c r="N20" s="37">
        <v>10539.36</v>
      </c>
      <c r="O20" s="86">
        <f t="shared" si="2"/>
        <v>0.36199999999999999</v>
      </c>
      <c r="P20" s="37">
        <v>476969</v>
      </c>
      <c r="Q20" s="37">
        <v>19613.05</v>
      </c>
      <c r="R20" s="37">
        <v>24819.74</v>
      </c>
      <c r="S20" s="37">
        <v>30234.23</v>
      </c>
      <c r="T20" s="37">
        <v>46020.959999999999</v>
      </c>
      <c r="U20" s="37">
        <v>15786.73</v>
      </c>
      <c r="V20" s="86">
        <f t="shared" si="3"/>
        <v>0.34300000000000003</v>
      </c>
    </row>
    <row r="21" spans="1:22" x14ac:dyDescent="0.25">
      <c r="A21" s="28" t="s">
        <v>38</v>
      </c>
      <c r="B21" s="29" t="s">
        <v>56</v>
      </c>
      <c r="C21" s="74">
        <f t="shared" si="0"/>
        <v>1.9594387669217972</v>
      </c>
      <c r="D21" s="37">
        <v>67513.56</v>
      </c>
      <c r="E21" s="37">
        <v>40619.550000000003</v>
      </c>
      <c r="F21" s="37">
        <v>34455.56</v>
      </c>
      <c r="G21" s="37">
        <v>48427.05</v>
      </c>
      <c r="H21" s="37">
        <v>13971.49</v>
      </c>
      <c r="I21" s="86">
        <f t="shared" si="1"/>
        <v>0.28899999999999998</v>
      </c>
      <c r="J21" s="37">
        <v>77493.05</v>
      </c>
      <c r="K21" s="37">
        <v>9501.44</v>
      </c>
      <c r="L21" s="37">
        <v>17724.580000000002</v>
      </c>
      <c r="M21" s="37">
        <v>25064.12</v>
      </c>
      <c r="N21" s="37">
        <v>7339.54</v>
      </c>
      <c r="O21" s="86">
        <f t="shared" si="2"/>
        <v>0.29299999999999998</v>
      </c>
      <c r="P21" s="37">
        <v>676167</v>
      </c>
      <c r="Q21" s="37">
        <v>78190.38</v>
      </c>
      <c r="R21" s="37">
        <v>23666.18</v>
      </c>
      <c r="S21" s="37">
        <v>30898</v>
      </c>
      <c r="T21" s="37">
        <v>44616.639999999999</v>
      </c>
      <c r="U21" s="37">
        <v>13718.64</v>
      </c>
      <c r="V21" s="86">
        <f t="shared" si="3"/>
        <v>0.307</v>
      </c>
    </row>
    <row r="22" spans="1:22" x14ac:dyDescent="0.25">
      <c r="A22" s="28" t="s">
        <v>39</v>
      </c>
      <c r="B22" s="29" t="s">
        <v>56</v>
      </c>
      <c r="C22" s="74" t="e">
        <f t="shared" si="0"/>
        <v>#DIV/0!</v>
      </c>
      <c r="D22" s="37">
        <v>183.66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183.66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16" t="s">
        <v>36</v>
      </c>
      <c r="B23" s="17" t="s">
        <v>57</v>
      </c>
      <c r="C23" s="68">
        <f t="shared" si="0"/>
        <v>0.29497926909395744</v>
      </c>
      <c r="D23" s="79">
        <v>3905.85</v>
      </c>
      <c r="E23" s="79">
        <v>12625.57</v>
      </c>
      <c r="F23" s="79">
        <v>13241.1</v>
      </c>
      <c r="G23" s="79">
        <v>17220.8</v>
      </c>
      <c r="H23" s="79">
        <v>3979.7</v>
      </c>
      <c r="I23" s="80">
        <f t="shared" si="1"/>
        <v>0.23100000000000001</v>
      </c>
      <c r="J23" s="79">
        <v>1257.58</v>
      </c>
      <c r="K23" s="79">
        <v>6008.96</v>
      </c>
      <c r="L23" s="79">
        <v>5069.9799999999996</v>
      </c>
      <c r="M23" s="79">
        <v>6887.64</v>
      </c>
      <c r="N23" s="79">
        <v>1817.66</v>
      </c>
      <c r="O23" s="80">
        <f t="shared" si="2"/>
        <v>0.26400000000000001</v>
      </c>
      <c r="P23" s="79">
        <v>373970</v>
      </c>
      <c r="Q23" s="79">
        <v>17.600000000000001</v>
      </c>
      <c r="R23" s="79">
        <v>3027.95</v>
      </c>
      <c r="S23" s="79">
        <v>3198.34</v>
      </c>
      <c r="T23" s="79">
        <v>4150.8</v>
      </c>
      <c r="U23" s="79">
        <v>952.46</v>
      </c>
      <c r="V23" s="80">
        <f t="shared" si="3"/>
        <v>0.22900000000000001</v>
      </c>
    </row>
    <row r="24" spans="1:22" x14ac:dyDescent="0.25">
      <c r="A24" s="16" t="s">
        <v>38</v>
      </c>
      <c r="B24" s="17" t="s">
        <v>57</v>
      </c>
      <c r="C24" s="68">
        <f t="shared" si="0"/>
        <v>0.884432404895657</v>
      </c>
      <c r="D24" s="79">
        <v>67639.25</v>
      </c>
      <c r="E24" s="79">
        <v>126042.8</v>
      </c>
      <c r="F24" s="79">
        <v>76477.58</v>
      </c>
      <c r="G24" s="79">
        <v>97749.5</v>
      </c>
      <c r="H24" s="79">
        <v>21271.919999999998</v>
      </c>
      <c r="I24" s="80">
        <f t="shared" si="1"/>
        <v>0.218</v>
      </c>
      <c r="J24" s="79">
        <v>37688.43</v>
      </c>
      <c r="K24" s="79">
        <v>83410.570000000007</v>
      </c>
      <c r="L24" s="79">
        <v>79152.639999999999</v>
      </c>
      <c r="M24" s="79">
        <v>100629.87</v>
      </c>
      <c r="N24" s="79">
        <v>21477.23</v>
      </c>
      <c r="O24" s="80">
        <f t="shared" si="2"/>
        <v>0.21299999999999999</v>
      </c>
      <c r="P24" s="79">
        <v>1559791</v>
      </c>
      <c r="Q24" s="79">
        <v>76366.19</v>
      </c>
      <c r="R24" s="79">
        <v>149715.20000000001</v>
      </c>
      <c r="S24" s="79">
        <v>169656.37</v>
      </c>
      <c r="T24" s="79">
        <v>203781.97</v>
      </c>
      <c r="U24" s="79">
        <v>34125.599999999999</v>
      </c>
      <c r="V24" s="80">
        <f t="shared" si="3"/>
        <v>0.16700000000000001</v>
      </c>
    </row>
    <row r="25" spans="1:22" x14ac:dyDescent="0.25">
      <c r="A25" s="16" t="s">
        <v>39</v>
      </c>
      <c r="B25" s="17" t="s">
        <v>57</v>
      </c>
      <c r="C25" s="68">
        <f t="shared" si="0"/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36</v>
      </c>
      <c r="B26" s="19" t="s">
        <v>58</v>
      </c>
      <c r="C26" s="69">
        <f t="shared" si="0"/>
        <v>0</v>
      </c>
      <c r="D26" s="32">
        <v>0</v>
      </c>
      <c r="E26" s="32">
        <v>0</v>
      </c>
      <c r="F26" s="32">
        <v>199.81</v>
      </c>
      <c r="G26" s="32">
        <v>371.2</v>
      </c>
      <c r="H26" s="32">
        <v>171.39</v>
      </c>
      <c r="I26" s="81">
        <f t="shared" si="1"/>
        <v>0.46200000000000002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81">
        <f t="shared" si="2"/>
        <v>0</v>
      </c>
      <c r="P26" s="32">
        <v>0</v>
      </c>
      <c r="Q26" s="32">
        <v>39.700000000000003</v>
      </c>
      <c r="R26" s="32">
        <v>0</v>
      </c>
      <c r="S26" s="32">
        <v>0</v>
      </c>
      <c r="T26" s="32">
        <v>0</v>
      </c>
      <c r="U26" s="32">
        <v>0</v>
      </c>
      <c r="V26" s="81">
        <f t="shared" si="3"/>
        <v>0</v>
      </c>
    </row>
    <row r="27" spans="1:22" x14ac:dyDescent="0.25">
      <c r="A27" s="18" t="s">
        <v>38</v>
      </c>
      <c r="B27" s="19" t="s">
        <v>58</v>
      </c>
      <c r="C27" s="69">
        <f t="shared" si="0"/>
        <v>3.0465983639390077</v>
      </c>
      <c r="D27" s="32">
        <v>3422.64</v>
      </c>
      <c r="E27" s="32">
        <v>3383.52</v>
      </c>
      <c r="F27" s="32">
        <v>1123.43</v>
      </c>
      <c r="G27" s="32">
        <v>1969</v>
      </c>
      <c r="H27" s="32">
        <v>845.57</v>
      </c>
      <c r="I27" s="81">
        <f t="shared" si="1"/>
        <v>0.42899999999999999</v>
      </c>
      <c r="J27" s="32">
        <v>1777.93</v>
      </c>
      <c r="K27" s="32">
        <v>0</v>
      </c>
      <c r="L27" s="32">
        <v>0</v>
      </c>
      <c r="M27" s="32">
        <v>0</v>
      </c>
      <c r="N27" s="32">
        <v>0</v>
      </c>
      <c r="O27" s="81">
        <f t="shared" si="2"/>
        <v>0</v>
      </c>
      <c r="P27" s="32">
        <v>5510</v>
      </c>
      <c r="Q27" s="32">
        <v>1987.14</v>
      </c>
      <c r="R27" s="32">
        <v>0</v>
      </c>
      <c r="S27" s="32">
        <v>350.65</v>
      </c>
      <c r="T27" s="32">
        <v>556.5</v>
      </c>
      <c r="U27" s="32">
        <v>205.85</v>
      </c>
      <c r="V27" s="81">
        <f t="shared" si="3"/>
        <v>0.37</v>
      </c>
    </row>
    <row r="28" spans="1:22" x14ac:dyDescent="0.25">
      <c r="A28" s="18" t="s">
        <v>39</v>
      </c>
      <c r="B28" s="19" t="s">
        <v>58</v>
      </c>
      <c r="C28" s="69">
        <f t="shared" si="0"/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x14ac:dyDescent="0.25">
      <c r="A29" s="20" t="s">
        <v>36</v>
      </c>
      <c r="B29" s="21" t="s">
        <v>59</v>
      </c>
      <c r="C29" s="70">
        <f t="shared" si="0"/>
        <v>112.48164281269446</v>
      </c>
      <c r="D29" s="33">
        <v>1807.58</v>
      </c>
      <c r="E29" s="33">
        <v>138.59</v>
      </c>
      <c r="F29" s="33">
        <v>16.07</v>
      </c>
      <c r="G29" s="33">
        <v>21.09</v>
      </c>
      <c r="H29" s="33">
        <v>5.0199999999999996</v>
      </c>
      <c r="I29" s="82">
        <f t="shared" si="1"/>
        <v>0.23799999999999999</v>
      </c>
      <c r="J29" s="33">
        <v>1048.93</v>
      </c>
      <c r="K29" s="33">
        <v>0</v>
      </c>
      <c r="L29" s="33">
        <v>14.08</v>
      </c>
      <c r="M29" s="33">
        <v>21.12</v>
      </c>
      <c r="N29" s="33">
        <v>7.04</v>
      </c>
      <c r="O29" s="82">
        <f t="shared" si="2"/>
        <v>0.33300000000000002</v>
      </c>
      <c r="P29" s="33">
        <v>8385</v>
      </c>
      <c r="Q29" s="33">
        <v>744.32</v>
      </c>
      <c r="R29" s="33">
        <v>0</v>
      </c>
      <c r="S29" s="33">
        <v>85.69</v>
      </c>
      <c r="T29" s="33">
        <v>127.63</v>
      </c>
      <c r="U29" s="33">
        <v>41.94</v>
      </c>
      <c r="V29" s="82">
        <f t="shared" si="3"/>
        <v>0.32900000000000001</v>
      </c>
    </row>
    <row r="30" spans="1:22" x14ac:dyDescent="0.25">
      <c r="A30" s="20" t="s">
        <v>38</v>
      </c>
      <c r="B30" s="21" t="s">
        <v>59</v>
      </c>
      <c r="C30" s="70">
        <f t="shared" si="0"/>
        <v>10.469335566888047</v>
      </c>
      <c r="D30" s="33">
        <v>28248.78</v>
      </c>
      <c r="E30" s="33">
        <v>416.31</v>
      </c>
      <c r="F30" s="33">
        <v>2698.24</v>
      </c>
      <c r="G30" s="33">
        <v>2939.39</v>
      </c>
      <c r="H30" s="33">
        <v>241.15</v>
      </c>
      <c r="I30" s="82">
        <f t="shared" si="1"/>
        <v>8.2000000000000003E-2</v>
      </c>
      <c r="J30" s="33">
        <v>40.799999999999997</v>
      </c>
      <c r="K30" s="33">
        <v>0</v>
      </c>
      <c r="L30" s="33">
        <v>11.44</v>
      </c>
      <c r="M30" s="33">
        <v>22</v>
      </c>
      <c r="N30" s="33">
        <v>10.56</v>
      </c>
      <c r="O30" s="82">
        <f t="shared" si="2"/>
        <v>0.48</v>
      </c>
      <c r="P30" s="33">
        <v>68737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82">
        <f t="shared" si="3"/>
        <v>0</v>
      </c>
    </row>
    <row r="31" spans="1:22" ht="15.75" thickBot="1" x14ac:dyDescent="0.3">
      <c r="A31" s="30" t="s">
        <v>39</v>
      </c>
      <c r="B31" s="64" t="s">
        <v>59</v>
      </c>
      <c r="C31" s="66">
        <f t="shared" si="0"/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88">
        <f t="shared" si="1"/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88">
        <f t="shared" si="2"/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88">
        <f t="shared" si="3"/>
        <v>0</v>
      </c>
    </row>
    <row r="32" spans="1:22" s="3" customFormat="1" ht="15.75" thickBot="1" x14ac:dyDescent="0.3">
      <c r="A32" s="2"/>
      <c r="B32" s="87" t="s">
        <v>49</v>
      </c>
      <c r="C32" s="89">
        <f t="shared" si="0"/>
        <v>1.7969604776945529</v>
      </c>
      <c r="D32" s="6">
        <f>SUM(D2:D31)</f>
        <v>607745.96</v>
      </c>
      <c r="E32" s="6">
        <f>SUM(E2:E31)</f>
        <v>432042.91000000003</v>
      </c>
      <c r="F32" s="6">
        <f>SUM(F2:F31)</f>
        <v>338207.75</v>
      </c>
      <c r="G32" s="6">
        <f>SUM(G2:G31)</f>
        <v>486781.49000000005</v>
      </c>
      <c r="H32" s="63">
        <f>SUM(H2:H31)</f>
        <v>148573.74000000002</v>
      </c>
      <c r="I32" s="90">
        <f t="shared" si="1"/>
        <v>0.30499999999999999</v>
      </c>
      <c r="J32" s="63">
        <f t="shared" ref="J32:U32" si="4">SUM(J2:J31)</f>
        <v>568636.15000000026</v>
      </c>
      <c r="K32" s="63">
        <f t="shared" si="4"/>
        <v>280852.71999999997</v>
      </c>
      <c r="L32" s="63">
        <f t="shared" si="4"/>
        <v>276080.96000000002</v>
      </c>
      <c r="M32" s="63">
        <f t="shared" si="4"/>
        <v>389601.79000000004</v>
      </c>
      <c r="N32" s="63">
        <f t="shared" si="4"/>
        <v>113520.82999999999</v>
      </c>
      <c r="O32" s="90">
        <f t="shared" si="2"/>
        <v>0.29099999999999998</v>
      </c>
      <c r="P32" s="63">
        <f t="shared" si="4"/>
        <v>6115288</v>
      </c>
      <c r="Q32" s="63">
        <f t="shared" si="4"/>
        <v>609539.05999999982</v>
      </c>
      <c r="R32" s="63">
        <f t="shared" si="4"/>
        <v>321349.41000000003</v>
      </c>
      <c r="S32" s="63">
        <f t="shared" si="4"/>
        <v>458682.63000000006</v>
      </c>
      <c r="T32" s="63">
        <f t="shared" si="4"/>
        <v>604530.55999999994</v>
      </c>
      <c r="U32" s="63">
        <f t="shared" si="4"/>
        <v>145847.93000000002</v>
      </c>
      <c r="V32" s="90">
        <f t="shared" si="3"/>
        <v>0.24099999999999999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E2DDA-29FF-421A-8C00-8CA54FC5CA8F}">
  <sheetPr codeName="Sheet4">
    <tabColor theme="9" tint="0.79998168889431442"/>
  </sheetPr>
  <dimension ref="A1:V29"/>
  <sheetViews>
    <sheetView zoomScale="90" zoomScaleNormal="90" workbookViewId="0">
      <selection activeCell="C30" sqref="C30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50</v>
      </c>
      <c r="C2" s="68" cm="1">
        <f t="array" ref="C2:V22">'L - All'!C2:V22</f>
        <v>2.7948296567852853</v>
      </c>
      <c r="D2" s="79">
        <v>3095.19</v>
      </c>
      <c r="E2" s="79">
        <v>1558.87</v>
      </c>
      <c r="F2" s="79">
        <v>1107.47</v>
      </c>
      <c r="G2" s="79">
        <v>2480.27</v>
      </c>
      <c r="H2" s="79">
        <v>1372.8</v>
      </c>
      <c r="I2" s="80">
        <v>0.55300000000000005</v>
      </c>
      <c r="J2" s="79">
        <v>2864.61</v>
      </c>
      <c r="K2" s="79">
        <v>1684.69</v>
      </c>
      <c r="L2" s="79">
        <v>1173.99</v>
      </c>
      <c r="M2" s="79">
        <v>2939.48</v>
      </c>
      <c r="N2" s="79">
        <v>1765.49</v>
      </c>
      <c r="O2" s="80">
        <v>0.60099999999999998</v>
      </c>
      <c r="P2" s="79">
        <v>39164</v>
      </c>
      <c r="Q2" s="79">
        <v>3996.11</v>
      </c>
      <c r="R2" s="79">
        <v>3308.34</v>
      </c>
      <c r="S2" s="79">
        <v>1237.01</v>
      </c>
      <c r="T2" s="79">
        <v>2126.12</v>
      </c>
      <c r="U2" s="79">
        <v>889.11</v>
      </c>
      <c r="V2" s="80">
        <v>0.41799999999999998</v>
      </c>
    </row>
    <row r="3" spans="1:22" x14ac:dyDescent="0.25">
      <c r="A3" s="16" t="s">
        <v>38</v>
      </c>
      <c r="B3" s="17" t="s">
        <v>50</v>
      </c>
      <c r="C3" s="68">
        <v>379.65774155995348</v>
      </c>
      <c r="D3" s="79">
        <v>6522.52</v>
      </c>
      <c r="E3" s="79">
        <v>0</v>
      </c>
      <c r="F3" s="79">
        <v>17.18</v>
      </c>
      <c r="G3" s="79">
        <v>44.85</v>
      </c>
      <c r="H3" s="79">
        <v>27.67</v>
      </c>
      <c r="I3" s="80">
        <v>0.61699999999999999</v>
      </c>
      <c r="J3" s="79">
        <v>6974.24</v>
      </c>
      <c r="K3" s="79">
        <v>69.27</v>
      </c>
      <c r="L3" s="79">
        <v>763.23</v>
      </c>
      <c r="M3" s="79">
        <v>1900.51</v>
      </c>
      <c r="N3" s="79">
        <v>1137.28</v>
      </c>
      <c r="O3" s="80">
        <v>0.59799999999999998</v>
      </c>
      <c r="P3" s="79">
        <v>11347</v>
      </c>
      <c r="Q3" s="79">
        <v>6287.06</v>
      </c>
      <c r="R3" s="79">
        <v>-1050.52</v>
      </c>
      <c r="S3" s="79">
        <v>420.05</v>
      </c>
      <c r="T3" s="79">
        <v>925.61</v>
      </c>
      <c r="U3" s="79">
        <v>505.56</v>
      </c>
      <c r="V3" s="80">
        <v>0.54600000000000004</v>
      </c>
    </row>
    <row r="4" spans="1:22" x14ac:dyDescent="0.25">
      <c r="A4" s="16" t="s">
        <v>39</v>
      </c>
      <c r="B4" s="17" t="s">
        <v>50</v>
      </c>
      <c r="C4" s="68"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8" t="s">
        <v>36</v>
      </c>
      <c r="B5" s="19" t="s">
        <v>51</v>
      </c>
      <c r="C5" s="69">
        <v>1.0961696742585012</v>
      </c>
      <c r="D5" s="32">
        <v>42391.83</v>
      </c>
      <c r="E5" s="32">
        <v>38684.49</v>
      </c>
      <c r="F5" s="32">
        <v>38672.69</v>
      </c>
      <c r="G5" s="32">
        <v>56153.48</v>
      </c>
      <c r="H5" s="32">
        <v>17480.79</v>
      </c>
      <c r="I5" s="81">
        <v>0.311</v>
      </c>
      <c r="J5" s="32">
        <v>33081.49</v>
      </c>
      <c r="K5" s="32">
        <v>19912.990000000002</v>
      </c>
      <c r="L5" s="32">
        <v>26795.41</v>
      </c>
      <c r="M5" s="32">
        <v>38427.86</v>
      </c>
      <c r="N5" s="32">
        <v>11632.45</v>
      </c>
      <c r="O5" s="81">
        <v>0.30299999999999999</v>
      </c>
      <c r="P5" s="32">
        <v>517553</v>
      </c>
      <c r="Q5" s="32">
        <v>37326.28</v>
      </c>
      <c r="R5" s="32">
        <v>44364.44</v>
      </c>
      <c r="S5" s="32">
        <v>43870.23</v>
      </c>
      <c r="T5" s="32">
        <v>57819.83</v>
      </c>
      <c r="U5" s="32">
        <v>13949.6</v>
      </c>
      <c r="V5" s="81">
        <v>0.24099999999999999</v>
      </c>
    </row>
    <row r="6" spans="1:22" x14ac:dyDescent="0.25">
      <c r="A6" s="18" t="s">
        <v>38</v>
      </c>
      <c r="B6" s="19" t="s">
        <v>51</v>
      </c>
      <c r="C6" s="69">
        <v>2.8964198036239392</v>
      </c>
      <c r="D6" s="32">
        <v>76345.600000000006</v>
      </c>
      <c r="E6" s="32">
        <v>5954.11</v>
      </c>
      <c r="F6" s="32">
        <v>26358.61</v>
      </c>
      <c r="G6" s="32">
        <v>35598.61</v>
      </c>
      <c r="H6" s="32">
        <v>9240</v>
      </c>
      <c r="I6" s="81">
        <v>0.26</v>
      </c>
      <c r="J6" s="32">
        <v>140194.22</v>
      </c>
      <c r="K6" s="32">
        <v>25158.03</v>
      </c>
      <c r="L6" s="32">
        <v>33610.230000000003</v>
      </c>
      <c r="M6" s="32">
        <v>43680.78</v>
      </c>
      <c r="N6" s="32">
        <v>10070.549999999999</v>
      </c>
      <c r="O6" s="81">
        <v>0.23100000000000001</v>
      </c>
      <c r="P6" s="32">
        <v>476256</v>
      </c>
      <c r="Q6" s="32">
        <v>99734.17</v>
      </c>
      <c r="R6" s="32">
        <v>-16120.72</v>
      </c>
      <c r="S6" s="32">
        <v>34972.85</v>
      </c>
      <c r="T6" s="32">
        <v>44777.63</v>
      </c>
      <c r="U6" s="32">
        <v>9804.7800000000007</v>
      </c>
      <c r="V6" s="81">
        <v>0.219</v>
      </c>
    </row>
    <row r="7" spans="1:22" x14ac:dyDescent="0.25">
      <c r="A7" s="18" t="s">
        <v>39</v>
      </c>
      <c r="B7" s="19" t="s">
        <v>51</v>
      </c>
      <c r="C7" s="69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36</v>
      </c>
      <c r="B8" s="21" t="s">
        <v>52</v>
      </c>
      <c r="C8" s="70">
        <v>1.3564070380313311</v>
      </c>
      <c r="D8" s="33">
        <v>10741.74</v>
      </c>
      <c r="E8" s="33">
        <v>9277.43</v>
      </c>
      <c r="F8" s="33">
        <v>7919.26</v>
      </c>
      <c r="G8" s="33">
        <v>14732.29</v>
      </c>
      <c r="H8" s="33">
        <v>6813.03</v>
      </c>
      <c r="I8" s="82">
        <v>0.46200000000000002</v>
      </c>
      <c r="J8" s="33">
        <v>12749.1</v>
      </c>
      <c r="K8" s="33">
        <v>11300.84</v>
      </c>
      <c r="L8" s="33">
        <v>7643.03</v>
      </c>
      <c r="M8" s="33">
        <v>13743.7</v>
      </c>
      <c r="N8" s="33">
        <v>6100.67</v>
      </c>
      <c r="O8" s="82">
        <v>0.44400000000000001</v>
      </c>
      <c r="P8" s="33">
        <v>224083</v>
      </c>
      <c r="Q8" s="33">
        <v>8146.52</v>
      </c>
      <c r="R8" s="33">
        <v>0</v>
      </c>
      <c r="S8" s="33">
        <v>5304.6</v>
      </c>
      <c r="T8" s="33">
        <v>9033.9</v>
      </c>
      <c r="U8" s="33">
        <v>3729.3</v>
      </c>
      <c r="V8" s="82">
        <v>0.41299999999999998</v>
      </c>
    </row>
    <row r="9" spans="1:22" x14ac:dyDescent="0.25">
      <c r="A9" s="20" t="s">
        <v>38</v>
      </c>
      <c r="B9" s="21" t="s">
        <v>52</v>
      </c>
      <c r="C9" s="70">
        <v>0</v>
      </c>
      <c r="D9" s="33">
        <v>0</v>
      </c>
      <c r="E9" s="33">
        <v>1142.92</v>
      </c>
      <c r="F9" s="33">
        <v>1251.72</v>
      </c>
      <c r="G9" s="33">
        <v>2086.02</v>
      </c>
      <c r="H9" s="33">
        <v>834.3</v>
      </c>
      <c r="I9" s="82">
        <v>0.4</v>
      </c>
      <c r="J9" s="33">
        <v>592.55999999999995</v>
      </c>
      <c r="K9" s="33">
        <v>3591.48</v>
      </c>
      <c r="L9" s="33">
        <v>3596.52</v>
      </c>
      <c r="M9" s="33">
        <v>5178.4399999999996</v>
      </c>
      <c r="N9" s="33">
        <v>1581.92</v>
      </c>
      <c r="O9" s="82">
        <v>0.30499999999999999</v>
      </c>
      <c r="P9" s="33">
        <v>84612</v>
      </c>
      <c r="Q9" s="33">
        <v>28176.05</v>
      </c>
      <c r="R9" s="33">
        <v>26414.97</v>
      </c>
      <c r="S9" s="33">
        <v>36034.050000000003</v>
      </c>
      <c r="T9" s="33">
        <v>46916.160000000003</v>
      </c>
      <c r="U9" s="33">
        <v>10882.11</v>
      </c>
      <c r="V9" s="82">
        <v>0.23200000000000001</v>
      </c>
    </row>
    <row r="10" spans="1:22" x14ac:dyDescent="0.25">
      <c r="A10" s="20" t="s">
        <v>39</v>
      </c>
      <c r="B10" s="21" t="s">
        <v>52</v>
      </c>
      <c r="C10" s="70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36</v>
      </c>
      <c r="B11" s="23" t="s">
        <v>53</v>
      </c>
      <c r="C11" s="71">
        <v>0.889344384720409</v>
      </c>
      <c r="D11" s="34">
        <v>40490</v>
      </c>
      <c r="E11" s="34">
        <v>50532.15</v>
      </c>
      <c r="F11" s="34">
        <v>45527.92</v>
      </c>
      <c r="G11" s="34">
        <v>70761.89</v>
      </c>
      <c r="H11" s="34">
        <v>25233.97</v>
      </c>
      <c r="I11" s="83">
        <v>0.35699999999999998</v>
      </c>
      <c r="J11" s="34">
        <v>31138.97</v>
      </c>
      <c r="K11" s="34">
        <v>33119.870000000003</v>
      </c>
      <c r="L11" s="34">
        <v>31178.92</v>
      </c>
      <c r="M11" s="34">
        <v>46880.17</v>
      </c>
      <c r="N11" s="34">
        <v>15701.25</v>
      </c>
      <c r="O11" s="83">
        <v>0.33500000000000002</v>
      </c>
      <c r="P11" s="34">
        <v>559413</v>
      </c>
      <c r="Q11" s="34">
        <v>28880.89</v>
      </c>
      <c r="R11" s="34">
        <v>33993.74</v>
      </c>
      <c r="S11" s="34">
        <v>35163.279999999999</v>
      </c>
      <c r="T11" s="34">
        <v>49066.27</v>
      </c>
      <c r="U11" s="34">
        <v>13902.99</v>
      </c>
      <c r="V11" s="83">
        <v>0.28299999999999997</v>
      </c>
    </row>
    <row r="12" spans="1:22" x14ac:dyDescent="0.25">
      <c r="A12" s="22" t="s">
        <v>38</v>
      </c>
      <c r="B12" s="23" t="s">
        <v>53</v>
      </c>
      <c r="C12" s="71">
        <v>4.5101947521143027</v>
      </c>
      <c r="D12" s="34">
        <v>116418.5</v>
      </c>
      <c r="E12" s="34">
        <v>80284.61</v>
      </c>
      <c r="F12" s="34">
        <v>25812.3</v>
      </c>
      <c r="G12" s="34">
        <v>35887.49</v>
      </c>
      <c r="H12" s="34">
        <v>10075.19</v>
      </c>
      <c r="I12" s="83">
        <v>0.28100000000000003</v>
      </c>
      <c r="J12" s="34">
        <v>91385.13</v>
      </c>
      <c r="K12" s="34">
        <v>43550.62</v>
      </c>
      <c r="L12" s="34">
        <v>24985.25</v>
      </c>
      <c r="M12" s="34">
        <v>32714.69</v>
      </c>
      <c r="N12" s="34">
        <v>7729.44</v>
      </c>
      <c r="O12" s="83">
        <v>0.23599999999999999</v>
      </c>
      <c r="P12" s="34">
        <v>480639</v>
      </c>
      <c r="Q12" s="34">
        <v>58571.98</v>
      </c>
      <c r="R12" s="34">
        <v>14276.32</v>
      </c>
      <c r="S12" s="34">
        <v>42188.12</v>
      </c>
      <c r="T12" s="34">
        <v>55276.27</v>
      </c>
      <c r="U12" s="34">
        <v>13088.15</v>
      </c>
      <c r="V12" s="83">
        <v>0.23699999999999999</v>
      </c>
    </row>
    <row r="13" spans="1:22" x14ac:dyDescent="0.25">
      <c r="A13" s="22" t="s">
        <v>39</v>
      </c>
      <c r="B13" s="23" t="s">
        <v>53</v>
      </c>
      <c r="C13" s="71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36</v>
      </c>
      <c r="B14" s="25" t="s">
        <v>54</v>
      </c>
      <c r="C14" s="72">
        <v>2.0477960370554742</v>
      </c>
      <c r="D14" s="35">
        <v>13493.01</v>
      </c>
      <c r="E14" s="35">
        <v>7350.48</v>
      </c>
      <c r="F14" s="35">
        <v>6589.04</v>
      </c>
      <c r="G14" s="35">
        <v>10916.25</v>
      </c>
      <c r="H14" s="35">
        <v>4327.21</v>
      </c>
      <c r="I14" s="84">
        <v>0.39600000000000002</v>
      </c>
      <c r="J14" s="35">
        <v>10402.64</v>
      </c>
      <c r="K14" s="35">
        <v>8617.5300000000007</v>
      </c>
      <c r="L14" s="35">
        <v>9206.92</v>
      </c>
      <c r="M14" s="35">
        <v>15216.5</v>
      </c>
      <c r="N14" s="35">
        <v>6009.58</v>
      </c>
      <c r="O14" s="84">
        <v>0.39500000000000002</v>
      </c>
      <c r="P14" s="35">
        <v>120798</v>
      </c>
      <c r="Q14" s="35">
        <v>6799.26</v>
      </c>
      <c r="R14" s="35">
        <v>3001.72</v>
      </c>
      <c r="S14" s="35">
        <v>4960.83</v>
      </c>
      <c r="T14" s="35">
        <v>7302.5</v>
      </c>
      <c r="U14" s="35">
        <v>2341.67</v>
      </c>
      <c r="V14" s="84">
        <v>0.32100000000000001</v>
      </c>
    </row>
    <row r="15" spans="1:22" x14ac:dyDescent="0.25">
      <c r="A15" s="24" t="s">
        <v>38</v>
      </c>
      <c r="B15" s="25" t="s">
        <v>54</v>
      </c>
      <c r="C15" s="72">
        <v>1.7436653141383418</v>
      </c>
      <c r="D15" s="35">
        <v>24718.06</v>
      </c>
      <c r="E15" s="35">
        <v>9887.1200000000008</v>
      </c>
      <c r="F15" s="35">
        <v>14175.92</v>
      </c>
      <c r="G15" s="35">
        <v>24974.6</v>
      </c>
      <c r="H15" s="35">
        <v>10798.68</v>
      </c>
      <c r="I15" s="84">
        <v>0.432</v>
      </c>
      <c r="J15" s="35">
        <v>26138.560000000001</v>
      </c>
      <c r="K15" s="35">
        <v>11733.36</v>
      </c>
      <c r="L15" s="35">
        <v>12013.44</v>
      </c>
      <c r="M15" s="35">
        <v>19019.62</v>
      </c>
      <c r="N15" s="35">
        <v>7006.18</v>
      </c>
      <c r="O15" s="84">
        <v>0.36799999999999999</v>
      </c>
      <c r="P15" s="35">
        <v>222215</v>
      </c>
      <c r="Q15" s="35">
        <v>36796.959999999999</v>
      </c>
      <c r="R15" s="35">
        <v>9055.82</v>
      </c>
      <c r="S15" s="35">
        <v>13609.67</v>
      </c>
      <c r="T15" s="35">
        <v>19774.68</v>
      </c>
      <c r="U15" s="35">
        <v>6165.01</v>
      </c>
      <c r="V15" s="84">
        <v>0.312</v>
      </c>
    </row>
    <row r="16" spans="1:22" x14ac:dyDescent="0.25">
      <c r="A16" s="24" t="s">
        <v>39</v>
      </c>
      <c r="B16" s="25" t="s">
        <v>54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x14ac:dyDescent="0.25">
      <c r="A17" s="26" t="s">
        <v>36</v>
      </c>
      <c r="B17" s="27" t="s">
        <v>55</v>
      </c>
      <c r="C17" s="73">
        <v>5.5737721303064429</v>
      </c>
      <c r="D17" s="36">
        <v>16729.900000000001</v>
      </c>
      <c r="E17" s="36">
        <v>2524.09</v>
      </c>
      <c r="F17" s="36">
        <v>3001.54</v>
      </c>
      <c r="G17" s="36">
        <v>5415.72</v>
      </c>
      <c r="H17" s="36">
        <v>2414.1799999999998</v>
      </c>
      <c r="I17" s="85">
        <v>0.44600000000000001</v>
      </c>
      <c r="J17" s="36">
        <v>15967.88</v>
      </c>
      <c r="K17" s="36">
        <v>1152.97</v>
      </c>
      <c r="L17" s="36">
        <v>3307.62</v>
      </c>
      <c r="M17" s="36">
        <v>5872.47</v>
      </c>
      <c r="N17" s="36">
        <v>2564.85</v>
      </c>
      <c r="O17" s="85">
        <v>0.437</v>
      </c>
      <c r="P17" s="36">
        <v>113865</v>
      </c>
      <c r="Q17" s="36">
        <v>25401</v>
      </c>
      <c r="R17" s="36">
        <v>2209.9899999999998</v>
      </c>
      <c r="S17" s="36">
        <v>2859.67</v>
      </c>
      <c r="T17" s="36">
        <v>5810.99</v>
      </c>
      <c r="U17" s="36">
        <v>2951.32</v>
      </c>
      <c r="V17" s="85">
        <v>0.50800000000000001</v>
      </c>
    </row>
    <row r="18" spans="1:22" x14ac:dyDescent="0.25">
      <c r="A18" s="26" t="s">
        <v>38</v>
      </c>
      <c r="B18" s="27" t="s">
        <v>55</v>
      </c>
      <c r="C18" s="73">
        <v>7.3726241000619597</v>
      </c>
      <c r="D18" s="36">
        <v>52236.59</v>
      </c>
      <c r="E18" s="36">
        <v>5179.22</v>
      </c>
      <c r="F18" s="36">
        <v>7085.21</v>
      </c>
      <c r="G18" s="36">
        <v>10874.03</v>
      </c>
      <c r="H18" s="36">
        <v>3788.82</v>
      </c>
      <c r="I18" s="85">
        <v>0.34799999999999998</v>
      </c>
      <c r="J18" s="36">
        <v>54796.89</v>
      </c>
      <c r="K18" s="36">
        <v>-38.6</v>
      </c>
      <c r="L18" s="36">
        <v>1271.28</v>
      </c>
      <c r="M18" s="36">
        <v>2301.06</v>
      </c>
      <c r="N18" s="36">
        <v>1029.78</v>
      </c>
      <c r="O18" s="85">
        <v>0.44800000000000001</v>
      </c>
      <c r="P18" s="36">
        <v>95814</v>
      </c>
      <c r="Q18" s="36">
        <v>92464.4</v>
      </c>
      <c r="R18" s="36">
        <v>666.24</v>
      </c>
      <c r="S18" s="36">
        <v>3638.99</v>
      </c>
      <c r="T18" s="36">
        <v>6446.1</v>
      </c>
      <c r="U18" s="36">
        <v>2807.11</v>
      </c>
      <c r="V18" s="85">
        <v>0.435</v>
      </c>
    </row>
    <row r="19" spans="1:22" x14ac:dyDescent="0.25">
      <c r="A19" s="26" t="s">
        <v>39</v>
      </c>
      <c r="B19" s="27" t="s">
        <v>55</v>
      </c>
      <c r="C19" s="73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v>0</v>
      </c>
    </row>
    <row r="20" spans="1:22" x14ac:dyDescent="0.25">
      <c r="A20" s="28" t="s">
        <v>36</v>
      </c>
      <c r="B20" s="29" t="s">
        <v>56</v>
      </c>
      <c r="C20" s="74">
        <v>0.9804354452829841</v>
      </c>
      <c r="D20" s="37">
        <v>31841.7</v>
      </c>
      <c r="E20" s="37">
        <v>36441.08</v>
      </c>
      <c r="F20" s="37">
        <v>32477.1</v>
      </c>
      <c r="G20" s="37">
        <v>48157.96</v>
      </c>
      <c r="H20" s="37">
        <v>15680.86</v>
      </c>
      <c r="I20" s="86">
        <v>0.32600000000000001</v>
      </c>
      <c r="J20" s="37">
        <v>22859.48</v>
      </c>
      <c r="K20" s="37">
        <v>22078.7</v>
      </c>
      <c r="L20" s="37">
        <v>18562.400000000001</v>
      </c>
      <c r="M20" s="37">
        <v>29101.759999999998</v>
      </c>
      <c r="N20" s="37">
        <v>10539.36</v>
      </c>
      <c r="O20" s="86">
        <v>0.36199999999999999</v>
      </c>
      <c r="P20" s="37">
        <v>476969</v>
      </c>
      <c r="Q20" s="37">
        <v>19613.05</v>
      </c>
      <c r="R20" s="37">
        <v>24819.74</v>
      </c>
      <c r="S20" s="37">
        <v>30234.23</v>
      </c>
      <c r="T20" s="37">
        <v>46020.959999999999</v>
      </c>
      <c r="U20" s="37">
        <v>15786.73</v>
      </c>
      <c r="V20" s="86">
        <v>0.34300000000000003</v>
      </c>
    </row>
    <row r="21" spans="1:22" x14ac:dyDescent="0.25">
      <c r="A21" s="28" t="s">
        <v>38</v>
      </c>
      <c r="B21" s="29" t="s">
        <v>56</v>
      </c>
      <c r="C21" s="74">
        <v>1.9594387669217972</v>
      </c>
      <c r="D21" s="37">
        <v>67513.56</v>
      </c>
      <c r="E21" s="37">
        <v>40619.550000000003</v>
      </c>
      <c r="F21" s="37">
        <v>34455.56</v>
      </c>
      <c r="G21" s="37">
        <v>48427.05</v>
      </c>
      <c r="H21" s="37">
        <v>13971.49</v>
      </c>
      <c r="I21" s="86">
        <v>0.28899999999999998</v>
      </c>
      <c r="J21" s="37">
        <v>77493.05</v>
      </c>
      <c r="K21" s="37">
        <v>9501.44</v>
      </c>
      <c r="L21" s="37">
        <v>17724.580000000002</v>
      </c>
      <c r="M21" s="37">
        <v>25064.12</v>
      </c>
      <c r="N21" s="37">
        <v>7339.54</v>
      </c>
      <c r="O21" s="86">
        <v>0.29299999999999998</v>
      </c>
      <c r="P21" s="37">
        <v>676167</v>
      </c>
      <c r="Q21" s="37">
        <v>78190.38</v>
      </c>
      <c r="R21" s="37">
        <v>23666.18</v>
      </c>
      <c r="S21" s="37">
        <v>30898</v>
      </c>
      <c r="T21" s="37">
        <v>44616.639999999999</v>
      </c>
      <c r="U21" s="37">
        <v>13718.64</v>
      </c>
      <c r="V21" s="86">
        <v>0.307</v>
      </c>
    </row>
    <row r="22" spans="1:22" x14ac:dyDescent="0.25">
      <c r="A22" s="28" t="s">
        <v>39</v>
      </c>
      <c r="B22" s="29" t="s">
        <v>56</v>
      </c>
      <c r="C22" s="74" t="e">
        <v>#DIV/0!</v>
      </c>
      <c r="D22" s="37">
        <v>183.66</v>
      </c>
      <c r="E22" s="37">
        <v>0</v>
      </c>
      <c r="F22" s="37">
        <v>0</v>
      </c>
      <c r="G22" s="37">
        <v>0</v>
      </c>
      <c r="H22" s="37">
        <v>0</v>
      </c>
      <c r="I22" s="86">
        <v>0</v>
      </c>
      <c r="J22" s="37">
        <v>183.66</v>
      </c>
      <c r="K22" s="37">
        <v>0</v>
      </c>
      <c r="L22" s="37">
        <v>0</v>
      </c>
      <c r="M22" s="37">
        <v>0</v>
      </c>
      <c r="N22" s="37">
        <v>0</v>
      </c>
      <c r="O22" s="86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v>0</v>
      </c>
    </row>
    <row r="23" spans="1:22" x14ac:dyDescent="0.25">
      <c r="A23" s="18" t="s">
        <v>36</v>
      </c>
      <c r="B23" s="19" t="s">
        <v>58</v>
      </c>
      <c r="C23" s="69" cm="1">
        <f t="array" ref="C23:V28">'L - All'!C26:V31</f>
        <v>0</v>
      </c>
      <c r="D23" s="32">
        <v>0</v>
      </c>
      <c r="E23" s="32">
        <v>0</v>
      </c>
      <c r="F23" s="32">
        <v>199.81</v>
      </c>
      <c r="G23" s="32">
        <v>371.2</v>
      </c>
      <c r="H23" s="32">
        <v>171.39</v>
      </c>
      <c r="I23" s="81">
        <v>0.46200000000000002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81">
        <v>0</v>
      </c>
      <c r="P23" s="32">
        <v>0</v>
      </c>
      <c r="Q23" s="32">
        <v>39.700000000000003</v>
      </c>
      <c r="R23" s="32">
        <v>0</v>
      </c>
      <c r="S23" s="32">
        <v>0</v>
      </c>
      <c r="T23" s="32">
        <v>0</v>
      </c>
      <c r="U23" s="32">
        <v>0</v>
      </c>
      <c r="V23" s="81">
        <v>0</v>
      </c>
    </row>
    <row r="24" spans="1:22" x14ac:dyDescent="0.25">
      <c r="A24" s="18" t="s">
        <v>38</v>
      </c>
      <c r="B24" s="19" t="s">
        <v>58</v>
      </c>
      <c r="C24" s="69">
        <v>3.0465983639390077</v>
      </c>
      <c r="D24" s="32">
        <v>3422.64</v>
      </c>
      <c r="E24" s="32">
        <v>3383.52</v>
      </c>
      <c r="F24" s="32">
        <v>1123.43</v>
      </c>
      <c r="G24" s="32">
        <v>1969</v>
      </c>
      <c r="H24" s="32">
        <v>845.57</v>
      </c>
      <c r="I24" s="81">
        <v>0.42899999999999999</v>
      </c>
      <c r="J24" s="32">
        <v>1777.93</v>
      </c>
      <c r="K24" s="32">
        <v>0</v>
      </c>
      <c r="L24" s="32">
        <v>0</v>
      </c>
      <c r="M24" s="32">
        <v>0</v>
      </c>
      <c r="N24" s="32">
        <v>0</v>
      </c>
      <c r="O24" s="81">
        <v>0</v>
      </c>
      <c r="P24" s="32">
        <v>5510</v>
      </c>
      <c r="Q24" s="32">
        <v>1987.14</v>
      </c>
      <c r="R24" s="32">
        <v>0</v>
      </c>
      <c r="S24" s="32">
        <v>350.65</v>
      </c>
      <c r="T24" s="32">
        <v>556.5</v>
      </c>
      <c r="U24" s="32">
        <v>205.85</v>
      </c>
      <c r="V24" s="81">
        <v>0.37</v>
      </c>
    </row>
    <row r="25" spans="1:22" x14ac:dyDescent="0.25">
      <c r="A25" s="18" t="s">
        <v>39</v>
      </c>
      <c r="B25" s="19" t="s">
        <v>58</v>
      </c>
      <c r="C25" s="69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81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81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81">
        <v>0</v>
      </c>
    </row>
    <row r="26" spans="1:22" x14ac:dyDescent="0.25">
      <c r="A26" s="20" t="s">
        <v>36</v>
      </c>
      <c r="B26" s="21" t="s">
        <v>59</v>
      </c>
      <c r="C26" s="70">
        <v>112.48164281269446</v>
      </c>
      <c r="D26" s="33">
        <v>1807.58</v>
      </c>
      <c r="E26" s="33">
        <v>138.59</v>
      </c>
      <c r="F26" s="33">
        <v>16.07</v>
      </c>
      <c r="G26" s="33">
        <v>21.09</v>
      </c>
      <c r="H26" s="33">
        <v>5.0199999999999996</v>
      </c>
      <c r="I26" s="82">
        <v>0.23799999999999999</v>
      </c>
      <c r="J26" s="33">
        <v>1048.93</v>
      </c>
      <c r="K26" s="33">
        <v>0</v>
      </c>
      <c r="L26" s="33">
        <v>14.08</v>
      </c>
      <c r="M26" s="33">
        <v>21.12</v>
      </c>
      <c r="N26" s="33">
        <v>7.04</v>
      </c>
      <c r="O26" s="82">
        <v>0.33300000000000002</v>
      </c>
      <c r="P26" s="33">
        <v>8385</v>
      </c>
      <c r="Q26" s="33">
        <v>744.32</v>
      </c>
      <c r="R26" s="33">
        <v>0</v>
      </c>
      <c r="S26" s="33">
        <v>85.69</v>
      </c>
      <c r="T26" s="33">
        <v>127.63</v>
      </c>
      <c r="U26" s="33">
        <v>41.94</v>
      </c>
      <c r="V26" s="82">
        <v>0.32900000000000001</v>
      </c>
    </row>
    <row r="27" spans="1:22" x14ac:dyDescent="0.25">
      <c r="A27" s="20" t="s">
        <v>38</v>
      </c>
      <c r="B27" s="21" t="s">
        <v>59</v>
      </c>
      <c r="C27" s="70">
        <v>10.469335566888047</v>
      </c>
      <c r="D27" s="33">
        <v>28248.78</v>
      </c>
      <c r="E27" s="33">
        <v>416.31</v>
      </c>
      <c r="F27" s="33">
        <v>2698.24</v>
      </c>
      <c r="G27" s="33">
        <v>2939.39</v>
      </c>
      <c r="H27" s="33">
        <v>241.15</v>
      </c>
      <c r="I27" s="82">
        <v>8.2000000000000003E-2</v>
      </c>
      <c r="J27" s="33">
        <v>40.799999999999997</v>
      </c>
      <c r="K27" s="33">
        <v>0</v>
      </c>
      <c r="L27" s="33">
        <v>11.44</v>
      </c>
      <c r="M27" s="33">
        <v>22</v>
      </c>
      <c r="N27" s="33">
        <v>10.56</v>
      </c>
      <c r="O27" s="82">
        <v>0.48</v>
      </c>
      <c r="P27" s="33">
        <v>68737</v>
      </c>
      <c r="Q27" s="33">
        <v>0</v>
      </c>
      <c r="R27" s="33">
        <v>0</v>
      </c>
      <c r="S27" s="33">
        <v>0</v>
      </c>
      <c r="T27" s="33">
        <v>0</v>
      </c>
      <c r="U27" s="33">
        <v>0</v>
      </c>
      <c r="V27" s="82">
        <v>0</v>
      </c>
    </row>
    <row r="28" spans="1:22" ht="15.75" thickBot="1" x14ac:dyDescent="0.3">
      <c r="A28" s="30" t="s">
        <v>39</v>
      </c>
      <c r="B28" s="64" t="s">
        <v>59</v>
      </c>
      <c r="C28" s="66">
        <v>0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8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8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88">
        <v>0</v>
      </c>
    </row>
    <row r="29" spans="1:22" s="3" customFormat="1" ht="15.75" thickBot="1" x14ac:dyDescent="0.3">
      <c r="A29" s="2"/>
      <c r="B29" s="87" t="s">
        <v>49</v>
      </c>
      <c r="C29" s="89">
        <f>IF(D29=0,0,(D29/(F29/1)))</f>
        <v>2.1578448500773098</v>
      </c>
      <c r="D29" s="6">
        <f>SUM(D2:D28)</f>
        <v>536200.8600000001</v>
      </c>
      <c r="E29" s="6">
        <f>SUM(E2:E28)</f>
        <v>293374.54000000004</v>
      </c>
      <c r="F29" s="6">
        <f>SUM(F2:F28)</f>
        <v>248489.07</v>
      </c>
      <c r="G29" s="6">
        <f>SUM(G2:G28)</f>
        <v>371811.19000000006</v>
      </c>
      <c r="H29" s="63">
        <f>SUM(H2:H28)</f>
        <v>123322.12000000002</v>
      </c>
      <c r="I29" s="90">
        <f>IF(G29=0,0,(1-(F29/G29)))</f>
        <v>0.33167942040690068</v>
      </c>
      <c r="J29" s="63">
        <f t="shared" ref="J29:U29" si="0">SUM(J2:J28)</f>
        <v>529690.14000000025</v>
      </c>
      <c r="K29" s="63">
        <f t="shared" si="0"/>
        <v>191433.19</v>
      </c>
      <c r="L29" s="63">
        <f t="shared" si="0"/>
        <v>191858.34</v>
      </c>
      <c r="M29" s="63">
        <f t="shared" si="0"/>
        <v>282084.28000000003</v>
      </c>
      <c r="N29" s="63">
        <f t="shared" si="0"/>
        <v>90225.939999999988</v>
      </c>
      <c r="O29" s="90">
        <f>IF(M29=0,0,(1-(L29/M29)))</f>
        <v>0.3198545484349572</v>
      </c>
      <c r="P29" s="63">
        <f t="shared" si="0"/>
        <v>4181527</v>
      </c>
      <c r="Q29" s="63">
        <f t="shared" si="0"/>
        <v>533155.26999999979</v>
      </c>
      <c r="R29" s="63">
        <f t="shared" si="0"/>
        <v>168606.26</v>
      </c>
      <c r="S29" s="63">
        <f t="shared" si="0"/>
        <v>285827.92000000004</v>
      </c>
      <c r="T29" s="63">
        <f t="shared" si="0"/>
        <v>396597.79</v>
      </c>
      <c r="U29" s="63">
        <f t="shared" si="0"/>
        <v>110769.87000000001</v>
      </c>
      <c r="V29" s="90">
        <f>IF(T29=0,0,(1-(S29/T29)))</f>
        <v>0.27930027043267169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A3594-2A41-4BDC-BD92-A6997B1F6A20}">
  <sheetPr codeName="Sheet5">
    <tabColor theme="9" tint="0.79998168889431442"/>
  </sheetPr>
  <dimension ref="A1:V5"/>
  <sheetViews>
    <sheetView zoomScale="85" zoomScaleNormal="85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6" t="s">
        <v>36</v>
      </c>
      <c r="B2" s="17" t="s">
        <v>57</v>
      </c>
      <c r="C2" s="68" cm="1">
        <f t="array" ref="C2:V4">'L - All'!C23:V25</f>
        <v>0.29497926909395744</v>
      </c>
      <c r="D2" s="79">
        <v>3905.85</v>
      </c>
      <c r="E2" s="79">
        <v>12625.57</v>
      </c>
      <c r="F2" s="79">
        <v>13241.1</v>
      </c>
      <c r="G2" s="79">
        <v>17220.8</v>
      </c>
      <c r="H2" s="79">
        <v>3979.7</v>
      </c>
      <c r="I2" s="80">
        <v>0.23100000000000001</v>
      </c>
      <c r="J2" s="79">
        <v>1257.58</v>
      </c>
      <c r="K2" s="79">
        <v>6008.96</v>
      </c>
      <c r="L2" s="79">
        <v>5069.9799999999996</v>
      </c>
      <c r="M2" s="79">
        <v>6887.64</v>
      </c>
      <c r="N2" s="79">
        <v>1817.66</v>
      </c>
      <c r="O2" s="80">
        <v>0.26400000000000001</v>
      </c>
      <c r="P2" s="79">
        <v>373970</v>
      </c>
      <c r="Q2" s="79">
        <v>17.600000000000001</v>
      </c>
      <c r="R2" s="79">
        <v>3027.95</v>
      </c>
      <c r="S2" s="79">
        <v>3198.34</v>
      </c>
      <c r="T2" s="79">
        <v>4150.8</v>
      </c>
      <c r="U2" s="79">
        <v>952.46</v>
      </c>
      <c r="V2" s="80">
        <v>0.22900000000000001</v>
      </c>
    </row>
    <row r="3" spans="1:22" x14ac:dyDescent="0.25">
      <c r="A3" s="16" t="s">
        <v>38</v>
      </c>
      <c r="B3" s="17" t="s">
        <v>57</v>
      </c>
      <c r="C3" s="68">
        <v>0.884432404895657</v>
      </c>
      <c r="D3" s="79">
        <v>67639.25</v>
      </c>
      <c r="E3" s="79">
        <v>126042.8</v>
      </c>
      <c r="F3" s="79">
        <v>76477.58</v>
      </c>
      <c r="G3" s="79">
        <v>97749.5</v>
      </c>
      <c r="H3" s="79">
        <v>21271.919999999998</v>
      </c>
      <c r="I3" s="80">
        <v>0.218</v>
      </c>
      <c r="J3" s="79">
        <v>37688.43</v>
      </c>
      <c r="K3" s="79">
        <v>83410.570000000007</v>
      </c>
      <c r="L3" s="79">
        <v>79152.639999999999</v>
      </c>
      <c r="M3" s="79">
        <v>100629.87</v>
      </c>
      <c r="N3" s="79">
        <v>21477.23</v>
      </c>
      <c r="O3" s="80">
        <v>0.21299999999999999</v>
      </c>
      <c r="P3" s="79">
        <v>1559791</v>
      </c>
      <c r="Q3" s="79">
        <v>76366.19</v>
      </c>
      <c r="R3" s="79">
        <v>149715.20000000001</v>
      </c>
      <c r="S3" s="79">
        <v>169656.37</v>
      </c>
      <c r="T3" s="79">
        <v>203781.97</v>
      </c>
      <c r="U3" s="79">
        <v>34125.599999999999</v>
      </c>
      <c r="V3" s="80">
        <v>0.16700000000000001</v>
      </c>
    </row>
    <row r="4" spans="1:22" ht="15.75" thickBot="1" x14ac:dyDescent="0.3">
      <c r="A4" s="16" t="s">
        <v>39</v>
      </c>
      <c r="B4" s="17" t="s">
        <v>57</v>
      </c>
      <c r="C4" s="68"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s="3" customFormat="1" ht="15.75" thickBot="1" x14ac:dyDescent="0.3">
      <c r="A5" s="2"/>
      <c r="B5" s="87" t="s">
        <v>49</v>
      </c>
      <c r="C5" s="89">
        <f>IF(D5=0,0,(D5/(F5/1)))</f>
        <v>0.79743817006670181</v>
      </c>
      <c r="D5" s="6">
        <f>SUM(D2:D4)</f>
        <v>71545.100000000006</v>
      </c>
      <c r="E5" s="6">
        <f>SUM(E2:E4)</f>
        <v>138668.37</v>
      </c>
      <c r="F5" s="6">
        <f>SUM(F2:F4)</f>
        <v>89718.680000000008</v>
      </c>
      <c r="G5" s="6">
        <f>SUM(G2:G4)</f>
        <v>114970.3</v>
      </c>
      <c r="H5" s="63">
        <f>SUM(H2:H4)</f>
        <v>25251.62</v>
      </c>
      <c r="I5" s="90">
        <f>IF(G5=0,0,(1-(F5/G5)))</f>
        <v>0.21963602773933788</v>
      </c>
      <c r="J5" s="63">
        <f>SUM(J2:J4)</f>
        <v>38946.01</v>
      </c>
      <c r="K5" s="63">
        <f>SUM(K2:K4)</f>
        <v>89419.530000000013</v>
      </c>
      <c r="L5" s="63">
        <f>SUM(L2:L4)</f>
        <v>84222.62</v>
      </c>
      <c r="M5" s="63">
        <f>SUM(M2:M4)</f>
        <v>107517.51</v>
      </c>
      <c r="N5" s="63">
        <f>SUM(N2:N4)</f>
        <v>23294.89</v>
      </c>
      <c r="O5" s="90">
        <f>IF(M5=0,0,(1-(L5/M5)))</f>
        <v>0.21666136055420182</v>
      </c>
      <c r="P5" s="63">
        <f t="shared" ref="P5:U5" si="0">SUM(P2:P4)</f>
        <v>1933761</v>
      </c>
      <c r="Q5" s="63">
        <f t="shared" si="0"/>
        <v>76383.790000000008</v>
      </c>
      <c r="R5" s="63">
        <f t="shared" si="0"/>
        <v>152743.15000000002</v>
      </c>
      <c r="S5" s="63">
        <f t="shared" si="0"/>
        <v>172854.71</v>
      </c>
      <c r="T5" s="63">
        <f t="shared" si="0"/>
        <v>207932.77</v>
      </c>
      <c r="U5" s="63">
        <f t="shared" si="0"/>
        <v>35078.06</v>
      </c>
      <c r="V5" s="90">
        <f>IF(T5=0,0,(1-(S5/T5)))</f>
        <v>0.16869904633117716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2A273-FD8D-4D42-8DC4-6A4891200560}">
  <sheetPr codeName="Sheet6">
    <tabColor theme="9" tint="0.59999389629810485"/>
  </sheetPr>
  <dimension ref="A1:V29"/>
  <sheetViews>
    <sheetView zoomScale="90" zoomScaleNormal="90" workbookViewId="0">
      <pane ySplit="1" topLeftCell="A2" activePane="bottomLeft" state="frozen"/>
      <selection pane="bottomLeft" activeCell="C29" sqref="C29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60</v>
      </c>
      <c r="C2" s="68">
        <f>IF(D2=0,0,(D2/(F2/1)))</f>
        <v>3.9101317692431303</v>
      </c>
      <c r="D2" s="79">
        <v>1946.62</v>
      </c>
      <c r="E2" s="79">
        <v>876.4</v>
      </c>
      <c r="F2" s="79">
        <v>497.84</v>
      </c>
      <c r="G2" s="79">
        <v>772.92</v>
      </c>
      <c r="H2" s="79">
        <v>275.08</v>
      </c>
      <c r="I2" s="80">
        <f>IF(G2=0,0,ROUND((1-F2/G2),3))</f>
        <v>0.35599999999999998</v>
      </c>
      <c r="J2" s="79">
        <v>1555.25</v>
      </c>
      <c r="K2" s="79">
        <v>-32.64</v>
      </c>
      <c r="L2" s="79">
        <v>220.78</v>
      </c>
      <c r="M2" s="79">
        <v>357.96</v>
      </c>
      <c r="N2" s="79">
        <v>137.18</v>
      </c>
      <c r="O2" s="80">
        <f>IF(M2=0,0,ROUND((1-L2/M2),3))</f>
        <v>0.38300000000000001</v>
      </c>
      <c r="P2" s="79">
        <v>5286</v>
      </c>
      <c r="Q2" s="79">
        <v>1227.56</v>
      </c>
      <c r="R2" s="79">
        <v>274.08</v>
      </c>
      <c r="S2" s="79">
        <v>141.31</v>
      </c>
      <c r="T2" s="79">
        <v>211.54</v>
      </c>
      <c r="U2" s="79">
        <v>70.23</v>
      </c>
      <c r="V2" s="80">
        <f>IF(T2=0,0,ROUND((1-S2/T2),3))</f>
        <v>0.33200000000000002</v>
      </c>
    </row>
    <row r="3" spans="1:22" x14ac:dyDescent="0.25">
      <c r="A3" s="16" t="s">
        <v>38</v>
      </c>
      <c r="B3" s="17" t="s">
        <v>60</v>
      </c>
      <c r="C3" s="68">
        <f t="shared" ref="C3:C29" si="0">IF(D3=0,0,(D3/(F3/1)))</f>
        <v>4.0348658903113304</v>
      </c>
      <c r="D3" s="79">
        <v>4604.71</v>
      </c>
      <c r="E3" s="79">
        <v>519.6</v>
      </c>
      <c r="F3" s="79">
        <v>1141.23</v>
      </c>
      <c r="G3" s="79">
        <v>1689.69</v>
      </c>
      <c r="H3" s="79">
        <v>548.46</v>
      </c>
      <c r="I3" s="80">
        <f t="shared" ref="I3:I29" si="1">IF(G3=0,0,ROUND((1-F3/G3),3))</f>
        <v>0.32500000000000001</v>
      </c>
      <c r="J3" s="79">
        <v>8120.39</v>
      </c>
      <c r="K3" s="79">
        <v>2560.16</v>
      </c>
      <c r="L3" s="79">
        <v>1093.48</v>
      </c>
      <c r="M3" s="79">
        <v>1575.72</v>
      </c>
      <c r="N3" s="79">
        <v>482.24</v>
      </c>
      <c r="O3" s="80">
        <f t="shared" ref="O3:O29" si="2">IF(M3=0,0,ROUND((1-L3/M3),3))</f>
        <v>0.30599999999999999</v>
      </c>
      <c r="P3" s="79">
        <v>9312</v>
      </c>
      <c r="Q3" s="79">
        <v>6824.88</v>
      </c>
      <c r="R3" s="79">
        <v>428</v>
      </c>
      <c r="S3" s="79">
        <v>116.38</v>
      </c>
      <c r="T3" s="79">
        <v>204.9</v>
      </c>
      <c r="U3" s="79">
        <v>88.52</v>
      </c>
      <c r="V3" s="80">
        <f t="shared" ref="V3:V29" si="3">IF(T3=0,0,ROUND((1-S3/T3),3))</f>
        <v>0.432</v>
      </c>
    </row>
    <row r="4" spans="1:22" x14ac:dyDescent="0.25">
      <c r="A4" s="16" t="s">
        <v>39</v>
      </c>
      <c r="B4" s="17" t="s">
        <v>60</v>
      </c>
      <c r="C4" s="68">
        <f t="shared" si="0"/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f t="shared" si="2"/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ht="24" x14ac:dyDescent="0.25">
      <c r="A5" s="18" t="s">
        <v>36</v>
      </c>
      <c r="B5" s="19" t="s">
        <v>61</v>
      </c>
      <c r="C5" s="69">
        <f t="shared" si="0"/>
        <v>14.919146057280312</v>
      </c>
      <c r="D5" s="32">
        <v>19846.939999999999</v>
      </c>
      <c r="E5" s="32">
        <v>1094.52</v>
      </c>
      <c r="F5" s="32">
        <v>1330.3</v>
      </c>
      <c r="G5" s="32">
        <v>1933.12</v>
      </c>
      <c r="H5" s="32">
        <v>602.82000000000005</v>
      </c>
      <c r="I5" s="81">
        <f t="shared" si="1"/>
        <v>0.312</v>
      </c>
      <c r="J5" s="32">
        <v>19535.759999999998</v>
      </c>
      <c r="K5" s="32">
        <v>1959.57</v>
      </c>
      <c r="L5" s="32">
        <v>2189.71</v>
      </c>
      <c r="M5" s="32">
        <v>3394.06</v>
      </c>
      <c r="N5" s="32">
        <v>1204.3499999999999</v>
      </c>
      <c r="O5" s="81">
        <f t="shared" si="2"/>
        <v>0.35499999999999998</v>
      </c>
      <c r="P5" s="32">
        <v>49727</v>
      </c>
      <c r="Q5" s="32">
        <v>17320.41</v>
      </c>
      <c r="R5" s="32">
        <v>134</v>
      </c>
      <c r="S5" s="32">
        <v>1704.95</v>
      </c>
      <c r="T5" s="32">
        <v>2840.54</v>
      </c>
      <c r="U5" s="32">
        <v>1135.5899999999999</v>
      </c>
      <c r="V5" s="81">
        <f t="shared" si="3"/>
        <v>0.4</v>
      </c>
    </row>
    <row r="6" spans="1:22" ht="24" x14ac:dyDescent="0.25">
      <c r="A6" s="18" t="s">
        <v>38</v>
      </c>
      <c r="B6" s="19" t="s">
        <v>61</v>
      </c>
      <c r="C6" s="69">
        <f t="shared" si="0"/>
        <v>1216.589189189189</v>
      </c>
      <c r="D6" s="32">
        <v>49515.18</v>
      </c>
      <c r="E6" s="32">
        <v>620.24</v>
      </c>
      <c r="F6" s="32">
        <v>40.700000000000003</v>
      </c>
      <c r="G6" s="32">
        <v>-173.24</v>
      </c>
      <c r="H6" s="32">
        <v>-213.94</v>
      </c>
      <c r="I6" s="81">
        <f t="shared" si="1"/>
        <v>1.2350000000000001</v>
      </c>
      <c r="J6" s="32">
        <v>54207.48</v>
      </c>
      <c r="K6" s="32">
        <v>-19.989999999999998</v>
      </c>
      <c r="L6" s="32">
        <v>307.64999999999998</v>
      </c>
      <c r="M6" s="32">
        <v>566.09</v>
      </c>
      <c r="N6" s="32">
        <v>258.44</v>
      </c>
      <c r="O6" s="81">
        <f t="shared" si="2"/>
        <v>0.45700000000000002</v>
      </c>
      <c r="P6" s="32">
        <v>17696</v>
      </c>
      <c r="Q6" s="32">
        <v>55148.12</v>
      </c>
      <c r="R6" s="32">
        <v>-66.77</v>
      </c>
      <c r="S6" s="32">
        <v>629.42999999999995</v>
      </c>
      <c r="T6" s="32">
        <v>1054.8699999999999</v>
      </c>
      <c r="U6" s="32">
        <v>425.44</v>
      </c>
      <c r="V6" s="81">
        <f t="shared" si="3"/>
        <v>0.40300000000000002</v>
      </c>
    </row>
    <row r="7" spans="1:22" ht="24" x14ac:dyDescent="0.25">
      <c r="A7" s="18" t="s">
        <v>39</v>
      </c>
      <c r="B7" s="19" t="s">
        <v>61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36</v>
      </c>
      <c r="B8" s="21" t="s">
        <v>62</v>
      </c>
      <c r="C8" s="70">
        <f t="shared" si="0"/>
        <v>13.352272727272727</v>
      </c>
      <c r="D8" s="33">
        <v>94</v>
      </c>
      <c r="E8" s="33">
        <v>0</v>
      </c>
      <c r="F8" s="33">
        <v>7.04</v>
      </c>
      <c r="G8" s="33">
        <v>29.98</v>
      </c>
      <c r="H8" s="33">
        <v>22.94</v>
      </c>
      <c r="I8" s="82">
        <f t="shared" si="1"/>
        <v>0.76500000000000001</v>
      </c>
      <c r="J8" s="33">
        <v>163</v>
      </c>
      <c r="K8" s="33">
        <v>0</v>
      </c>
      <c r="L8" s="33">
        <v>0</v>
      </c>
      <c r="M8" s="33">
        <v>0</v>
      </c>
      <c r="N8" s="33">
        <v>0</v>
      </c>
      <c r="O8" s="82">
        <f t="shared" si="2"/>
        <v>0</v>
      </c>
      <c r="P8" s="33">
        <v>195</v>
      </c>
      <c r="Q8" s="33">
        <v>185</v>
      </c>
      <c r="R8" s="33">
        <v>0</v>
      </c>
      <c r="S8" s="33">
        <v>8.42</v>
      </c>
      <c r="T8" s="33">
        <v>14.99</v>
      </c>
      <c r="U8" s="33">
        <v>6.57</v>
      </c>
      <c r="V8" s="82">
        <f t="shared" si="3"/>
        <v>0.438</v>
      </c>
    </row>
    <row r="9" spans="1:22" x14ac:dyDescent="0.25">
      <c r="A9" s="20" t="s">
        <v>38</v>
      </c>
      <c r="B9" s="21" t="s">
        <v>62</v>
      </c>
      <c r="C9" s="70" t="e">
        <f t="shared" si="0"/>
        <v>#DIV/0!</v>
      </c>
      <c r="D9" s="33">
        <v>313.01</v>
      </c>
      <c r="E9" s="33">
        <v>0</v>
      </c>
      <c r="F9" s="33">
        <v>0</v>
      </c>
      <c r="G9" s="33">
        <v>0</v>
      </c>
      <c r="H9" s="33">
        <v>0</v>
      </c>
      <c r="I9" s="82">
        <f t="shared" si="1"/>
        <v>0</v>
      </c>
      <c r="J9" s="33">
        <v>521.80999999999995</v>
      </c>
      <c r="K9" s="33">
        <v>0</v>
      </c>
      <c r="L9" s="33">
        <v>0</v>
      </c>
      <c r="M9" s="33">
        <v>0</v>
      </c>
      <c r="N9" s="33">
        <v>0</v>
      </c>
      <c r="O9" s="82">
        <f t="shared" si="2"/>
        <v>0</v>
      </c>
      <c r="P9" s="33">
        <v>119</v>
      </c>
      <c r="Q9" s="33">
        <v>669.91</v>
      </c>
      <c r="R9" s="33">
        <v>0</v>
      </c>
      <c r="S9" s="33">
        <v>5.12</v>
      </c>
      <c r="T9" s="33">
        <v>23.98</v>
      </c>
      <c r="U9" s="33">
        <v>18.86</v>
      </c>
      <c r="V9" s="82">
        <f t="shared" si="3"/>
        <v>0.78600000000000003</v>
      </c>
    </row>
    <row r="10" spans="1:22" x14ac:dyDescent="0.25">
      <c r="A10" s="20" t="s">
        <v>39</v>
      </c>
      <c r="B10" s="21" t="s">
        <v>62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36</v>
      </c>
      <c r="B11" s="23" t="s">
        <v>63</v>
      </c>
      <c r="C11" s="71" t="e">
        <f t="shared" si="0"/>
        <v>#DIV/0!</v>
      </c>
      <c r="D11" s="34">
        <v>994.32</v>
      </c>
      <c r="E11" s="34">
        <v>0</v>
      </c>
      <c r="F11" s="34">
        <v>0</v>
      </c>
      <c r="G11" s="34">
        <v>0</v>
      </c>
      <c r="H11" s="34">
        <v>0</v>
      </c>
      <c r="I11" s="83">
        <f t="shared" si="1"/>
        <v>0</v>
      </c>
      <c r="J11" s="34">
        <v>899.97</v>
      </c>
      <c r="K11" s="34">
        <v>209.04</v>
      </c>
      <c r="L11" s="34">
        <v>382.9</v>
      </c>
      <c r="M11" s="34">
        <v>602.79999999999995</v>
      </c>
      <c r="N11" s="34">
        <v>219.9</v>
      </c>
      <c r="O11" s="83">
        <f t="shared" si="2"/>
        <v>0.36499999999999999</v>
      </c>
      <c r="P11" s="34">
        <v>2409</v>
      </c>
      <c r="Q11" s="34">
        <v>769.79</v>
      </c>
      <c r="R11" s="34">
        <v>352.13</v>
      </c>
      <c r="S11" s="34">
        <v>536.4</v>
      </c>
      <c r="T11" s="34">
        <v>822</v>
      </c>
      <c r="U11" s="34">
        <v>285.60000000000002</v>
      </c>
      <c r="V11" s="83">
        <f t="shared" si="3"/>
        <v>0.34699999999999998</v>
      </c>
    </row>
    <row r="12" spans="1:22" x14ac:dyDescent="0.25">
      <c r="A12" s="22" t="s">
        <v>38</v>
      </c>
      <c r="B12" s="23" t="s">
        <v>63</v>
      </c>
      <c r="C12" s="71">
        <f t="shared" si="0"/>
        <v>6.4671021035443275</v>
      </c>
      <c r="D12" s="34">
        <v>1346.58</v>
      </c>
      <c r="E12" s="34">
        <v>360</v>
      </c>
      <c r="F12" s="34">
        <v>208.22</v>
      </c>
      <c r="G12" s="34">
        <v>295.8</v>
      </c>
      <c r="H12" s="34">
        <v>87.58</v>
      </c>
      <c r="I12" s="83">
        <f t="shared" si="1"/>
        <v>0.29599999999999999</v>
      </c>
      <c r="J12" s="34">
        <v>783.21</v>
      </c>
      <c r="K12" s="34">
        <v>-209.04</v>
      </c>
      <c r="L12" s="34">
        <v>0</v>
      </c>
      <c r="M12" s="34">
        <v>0</v>
      </c>
      <c r="N12" s="34">
        <v>0</v>
      </c>
      <c r="O12" s="83">
        <f t="shared" si="2"/>
        <v>0</v>
      </c>
      <c r="P12" s="34">
        <v>6902</v>
      </c>
      <c r="Q12" s="34">
        <v>1236.47</v>
      </c>
      <c r="R12" s="34">
        <v>-352.13</v>
      </c>
      <c r="S12" s="34">
        <v>167.11</v>
      </c>
      <c r="T12" s="34">
        <v>215</v>
      </c>
      <c r="U12" s="34">
        <v>47.89</v>
      </c>
      <c r="V12" s="83">
        <f t="shared" si="3"/>
        <v>0.223</v>
      </c>
    </row>
    <row r="13" spans="1:22" x14ac:dyDescent="0.25">
      <c r="A13" s="22" t="s">
        <v>39</v>
      </c>
      <c r="B13" s="23" t="s">
        <v>63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36</v>
      </c>
      <c r="B14" s="25" t="s">
        <v>64</v>
      </c>
      <c r="C14" s="72">
        <f t="shared" si="0"/>
        <v>6.1844812236535835</v>
      </c>
      <c r="D14" s="35">
        <v>5765.73</v>
      </c>
      <c r="E14" s="35">
        <v>659.19</v>
      </c>
      <c r="F14" s="35">
        <v>932.29</v>
      </c>
      <c r="G14" s="35">
        <v>1621.04</v>
      </c>
      <c r="H14" s="35">
        <v>688.75</v>
      </c>
      <c r="I14" s="84">
        <f t="shared" si="1"/>
        <v>0.42499999999999999</v>
      </c>
      <c r="J14" s="35">
        <v>5125.74</v>
      </c>
      <c r="K14" s="35">
        <v>1469.66</v>
      </c>
      <c r="L14" s="35">
        <v>1677.37</v>
      </c>
      <c r="M14" s="35">
        <v>2934.65</v>
      </c>
      <c r="N14" s="35">
        <v>1257.28</v>
      </c>
      <c r="O14" s="84">
        <f t="shared" si="2"/>
        <v>0.42799999999999999</v>
      </c>
      <c r="P14" s="35">
        <v>42444</v>
      </c>
      <c r="Q14" s="35">
        <v>7037.2</v>
      </c>
      <c r="R14" s="35">
        <v>803.2</v>
      </c>
      <c r="S14" s="35">
        <v>1200.1600000000001</v>
      </c>
      <c r="T14" s="35">
        <v>2006.17</v>
      </c>
      <c r="U14" s="35">
        <v>806.01</v>
      </c>
      <c r="V14" s="84">
        <f t="shared" si="3"/>
        <v>0.40200000000000002</v>
      </c>
    </row>
    <row r="15" spans="1:22" x14ac:dyDescent="0.25">
      <c r="A15" s="24" t="s">
        <v>38</v>
      </c>
      <c r="B15" s="25" t="s">
        <v>64</v>
      </c>
      <c r="C15" s="72">
        <f t="shared" si="0"/>
        <v>3.6569261694083379</v>
      </c>
      <c r="D15" s="35">
        <v>14663.25</v>
      </c>
      <c r="E15" s="35">
        <v>2711.25</v>
      </c>
      <c r="F15" s="35">
        <v>4009.72</v>
      </c>
      <c r="G15" s="35">
        <v>6904.78</v>
      </c>
      <c r="H15" s="35">
        <v>2895.06</v>
      </c>
      <c r="I15" s="84">
        <f t="shared" si="1"/>
        <v>0.41899999999999998</v>
      </c>
      <c r="J15" s="35">
        <v>13475.43</v>
      </c>
      <c r="K15" s="35">
        <v>3266.73</v>
      </c>
      <c r="L15" s="35">
        <v>3778.95</v>
      </c>
      <c r="M15" s="35">
        <v>5927.68</v>
      </c>
      <c r="N15" s="35">
        <v>2148.73</v>
      </c>
      <c r="O15" s="84">
        <f t="shared" si="2"/>
        <v>0.36199999999999999</v>
      </c>
      <c r="P15" s="35">
        <v>84722</v>
      </c>
      <c r="Q15" s="35">
        <v>18004.900000000001</v>
      </c>
      <c r="R15" s="35">
        <v>3341.12</v>
      </c>
      <c r="S15" s="35">
        <v>4620.8900000000003</v>
      </c>
      <c r="T15" s="35">
        <v>7924.33</v>
      </c>
      <c r="U15" s="35">
        <v>3303.44</v>
      </c>
      <c r="V15" s="84">
        <f t="shared" si="3"/>
        <v>0.41699999999999998</v>
      </c>
    </row>
    <row r="16" spans="1:22" x14ac:dyDescent="0.25">
      <c r="A16" s="24" t="s">
        <v>39</v>
      </c>
      <c r="B16" s="25" t="s">
        <v>64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36</v>
      </c>
      <c r="B17" s="27" t="s">
        <v>65</v>
      </c>
      <c r="C17" s="73">
        <f t="shared" si="0"/>
        <v>0.57093103874535767</v>
      </c>
      <c r="D17" s="36">
        <v>1062.28</v>
      </c>
      <c r="E17" s="36">
        <v>2371.0300000000002</v>
      </c>
      <c r="F17" s="36">
        <v>1860.61</v>
      </c>
      <c r="G17" s="36">
        <v>2471.58</v>
      </c>
      <c r="H17" s="36">
        <v>610.97</v>
      </c>
      <c r="I17" s="85">
        <f t="shared" si="1"/>
        <v>0.247</v>
      </c>
      <c r="J17" s="36">
        <v>528.52</v>
      </c>
      <c r="K17" s="36">
        <v>1398</v>
      </c>
      <c r="L17" s="36">
        <v>1397.99</v>
      </c>
      <c r="M17" s="36">
        <v>1831.36</v>
      </c>
      <c r="N17" s="36">
        <v>433.37</v>
      </c>
      <c r="O17" s="85">
        <f t="shared" si="2"/>
        <v>0.23699999999999999</v>
      </c>
      <c r="P17" s="36">
        <v>74721</v>
      </c>
      <c r="Q17" s="36">
        <v>18.399999999999999</v>
      </c>
      <c r="R17" s="36">
        <v>524.74</v>
      </c>
      <c r="S17" s="36">
        <v>888.88</v>
      </c>
      <c r="T17" s="36">
        <v>1277.53</v>
      </c>
      <c r="U17" s="36">
        <v>388.65</v>
      </c>
      <c r="V17" s="85">
        <f t="shared" si="3"/>
        <v>0.30399999999999999</v>
      </c>
    </row>
    <row r="18" spans="1:22" x14ac:dyDescent="0.25">
      <c r="A18" s="26" t="s">
        <v>38</v>
      </c>
      <c r="B18" s="27" t="s">
        <v>65</v>
      </c>
      <c r="C18" s="73">
        <f t="shared" si="0"/>
        <v>1.9921114090648673</v>
      </c>
      <c r="D18" s="36">
        <v>120169.26</v>
      </c>
      <c r="E18" s="36">
        <v>141579.51</v>
      </c>
      <c r="F18" s="36">
        <v>60322.559999999998</v>
      </c>
      <c r="G18" s="36">
        <v>73925.259999999995</v>
      </c>
      <c r="H18" s="36">
        <v>13602.7</v>
      </c>
      <c r="I18" s="85">
        <f t="shared" si="1"/>
        <v>0.184</v>
      </c>
      <c r="J18" s="36">
        <v>49528.11</v>
      </c>
      <c r="K18" s="36">
        <v>27705.73</v>
      </c>
      <c r="L18" s="36">
        <v>102446.2</v>
      </c>
      <c r="M18" s="36">
        <v>123704.88</v>
      </c>
      <c r="N18" s="36">
        <v>21258.68</v>
      </c>
      <c r="O18" s="85">
        <f t="shared" si="2"/>
        <v>0.17199999999999999</v>
      </c>
      <c r="P18" s="36">
        <v>1409700</v>
      </c>
      <c r="Q18" s="36">
        <v>51944.99</v>
      </c>
      <c r="R18" s="36">
        <v>120075.36</v>
      </c>
      <c r="S18" s="36">
        <v>126779.17</v>
      </c>
      <c r="T18" s="36">
        <v>156717.85</v>
      </c>
      <c r="U18" s="36">
        <v>29938.68</v>
      </c>
      <c r="V18" s="85">
        <f t="shared" si="3"/>
        <v>0.191</v>
      </c>
    </row>
    <row r="19" spans="1:22" x14ac:dyDescent="0.25">
      <c r="A19" s="26" t="s">
        <v>39</v>
      </c>
      <c r="B19" s="27" t="s">
        <v>65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36</v>
      </c>
      <c r="B20" s="29" t="s">
        <v>66</v>
      </c>
      <c r="C20" s="74">
        <f t="shared" si="0"/>
        <v>3.5874725330880475</v>
      </c>
      <c r="D20" s="37">
        <v>2808.13</v>
      </c>
      <c r="E20" s="37">
        <v>330.96</v>
      </c>
      <c r="F20" s="37">
        <v>782.76</v>
      </c>
      <c r="G20" s="37">
        <v>1026.3900000000001</v>
      </c>
      <c r="H20" s="37">
        <v>243.63</v>
      </c>
      <c r="I20" s="86">
        <f t="shared" si="1"/>
        <v>0.23699999999999999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86">
        <f t="shared" si="2"/>
        <v>0</v>
      </c>
      <c r="P20" s="37">
        <v>21531</v>
      </c>
      <c r="Q20" s="37">
        <v>126.49</v>
      </c>
      <c r="R20" s="37">
        <v>134.99</v>
      </c>
      <c r="S20" s="37">
        <v>8.5</v>
      </c>
      <c r="T20" s="37">
        <v>11.5</v>
      </c>
      <c r="U20" s="37">
        <v>3</v>
      </c>
      <c r="V20" s="86">
        <f t="shared" si="3"/>
        <v>0.26100000000000001</v>
      </c>
    </row>
    <row r="21" spans="1:22" x14ac:dyDescent="0.25">
      <c r="A21" s="28" t="s">
        <v>38</v>
      </c>
      <c r="B21" s="29" t="s">
        <v>66</v>
      </c>
      <c r="C21" s="74">
        <f t="shared" si="0"/>
        <v>1.0537253094516046</v>
      </c>
      <c r="D21" s="37">
        <v>25788.81</v>
      </c>
      <c r="E21" s="37">
        <v>31843.77</v>
      </c>
      <c r="F21" s="37">
        <v>24473.94</v>
      </c>
      <c r="G21" s="37">
        <v>31693.59</v>
      </c>
      <c r="H21" s="37">
        <v>7219.65</v>
      </c>
      <c r="I21" s="86">
        <f t="shared" si="1"/>
        <v>0.22800000000000001</v>
      </c>
      <c r="J21" s="37">
        <v>20664.080000000002</v>
      </c>
      <c r="K21" s="37">
        <v>46050.59</v>
      </c>
      <c r="L21" s="37">
        <v>46900.58</v>
      </c>
      <c r="M21" s="37">
        <v>60490.25</v>
      </c>
      <c r="N21" s="37">
        <v>13589.67</v>
      </c>
      <c r="O21" s="86">
        <f t="shared" si="2"/>
        <v>0.22500000000000001</v>
      </c>
      <c r="P21" s="37">
        <v>585489</v>
      </c>
      <c r="Q21" s="37">
        <v>13774.67</v>
      </c>
      <c r="R21" s="37">
        <v>43156.43</v>
      </c>
      <c r="S21" s="37">
        <v>48818.879999999997</v>
      </c>
      <c r="T21" s="37">
        <v>59952.52</v>
      </c>
      <c r="U21" s="37">
        <v>11133.64</v>
      </c>
      <c r="V21" s="86">
        <f t="shared" si="3"/>
        <v>0.186</v>
      </c>
    </row>
    <row r="22" spans="1:22" x14ac:dyDescent="0.25">
      <c r="A22" s="28" t="s">
        <v>39</v>
      </c>
      <c r="B22" s="29" t="s">
        <v>66</v>
      </c>
      <c r="C22" s="74">
        <f t="shared" si="0"/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16" t="s">
        <v>36</v>
      </c>
      <c r="B23" s="17" t="s">
        <v>67</v>
      </c>
      <c r="C23" s="68">
        <f t="shared" si="0"/>
        <v>0</v>
      </c>
      <c r="D23" s="79">
        <v>0</v>
      </c>
      <c r="E23" s="79">
        <v>148.63999999999999</v>
      </c>
      <c r="F23" s="79">
        <v>148.63999999999999</v>
      </c>
      <c r="G23" s="79">
        <v>220.48</v>
      </c>
      <c r="H23" s="79">
        <v>71.84</v>
      </c>
      <c r="I23" s="80">
        <f t="shared" si="1"/>
        <v>0.32600000000000001</v>
      </c>
      <c r="J23" s="79">
        <v>16.8</v>
      </c>
      <c r="K23" s="79">
        <v>1325.05</v>
      </c>
      <c r="L23" s="79">
        <v>1322.88</v>
      </c>
      <c r="M23" s="79">
        <v>1828.26</v>
      </c>
      <c r="N23" s="79">
        <v>505.38</v>
      </c>
      <c r="O23" s="80">
        <f t="shared" si="2"/>
        <v>0.27600000000000002</v>
      </c>
      <c r="P23" s="79">
        <v>29720</v>
      </c>
      <c r="Q23" s="79">
        <v>240</v>
      </c>
      <c r="R23" s="79">
        <v>302.08</v>
      </c>
      <c r="S23" s="79">
        <v>62.08</v>
      </c>
      <c r="T23" s="79">
        <v>85.28</v>
      </c>
      <c r="U23" s="79">
        <v>23.2</v>
      </c>
      <c r="V23" s="80">
        <f t="shared" si="3"/>
        <v>0.27200000000000002</v>
      </c>
    </row>
    <row r="24" spans="1:22" x14ac:dyDescent="0.25">
      <c r="A24" s="16" t="s">
        <v>38</v>
      </c>
      <c r="B24" s="17" t="s">
        <v>67</v>
      </c>
      <c r="C24" s="68">
        <f t="shared" si="0"/>
        <v>0.76468407666605709</v>
      </c>
      <c r="D24" s="79">
        <v>4600.1099999999997</v>
      </c>
      <c r="E24" s="79">
        <v>7321.46</v>
      </c>
      <c r="F24" s="79">
        <v>6015.7</v>
      </c>
      <c r="G24" s="79">
        <v>8965.92</v>
      </c>
      <c r="H24" s="79">
        <v>2950.22</v>
      </c>
      <c r="I24" s="80">
        <f t="shared" si="1"/>
        <v>0.32900000000000001</v>
      </c>
      <c r="J24" s="79">
        <v>10555.55</v>
      </c>
      <c r="K24" s="79">
        <v>19618.310000000001</v>
      </c>
      <c r="L24" s="79">
        <v>20283.849999999999</v>
      </c>
      <c r="M24" s="79">
        <v>27985.06</v>
      </c>
      <c r="N24" s="79">
        <v>7701.21</v>
      </c>
      <c r="O24" s="80">
        <f t="shared" si="2"/>
        <v>0.27500000000000002</v>
      </c>
      <c r="P24" s="79">
        <v>363021</v>
      </c>
      <c r="Q24" s="79">
        <v>4232.24</v>
      </c>
      <c r="R24" s="79">
        <v>5134.63</v>
      </c>
      <c r="S24" s="79">
        <v>7770.82</v>
      </c>
      <c r="T24" s="79">
        <v>10230.44</v>
      </c>
      <c r="U24" s="79">
        <v>2459.62</v>
      </c>
      <c r="V24" s="80">
        <f t="shared" si="3"/>
        <v>0.24</v>
      </c>
    </row>
    <row r="25" spans="1:22" x14ac:dyDescent="0.25">
      <c r="A25" s="16" t="s">
        <v>39</v>
      </c>
      <c r="B25" s="17" t="s">
        <v>67</v>
      </c>
      <c r="C25" s="68">
        <f t="shared" si="0"/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36</v>
      </c>
      <c r="B26" s="19" t="s">
        <v>68</v>
      </c>
      <c r="C26" s="69">
        <f t="shared" si="0"/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81">
        <f t="shared" si="1"/>
        <v>0</v>
      </c>
      <c r="J26" s="32">
        <v>9.8000000000000007</v>
      </c>
      <c r="K26" s="32">
        <v>9.8000000000000007</v>
      </c>
      <c r="L26" s="32">
        <v>0</v>
      </c>
      <c r="M26" s="32">
        <v>0</v>
      </c>
      <c r="N26" s="32">
        <v>0</v>
      </c>
      <c r="O26" s="81">
        <f t="shared" si="2"/>
        <v>0</v>
      </c>
      <c r="P26" s="32">
        <v>2073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81">
        <f t="shared" si="3"/>
        <v>0</v>
      </c>
    </row>
    <row r="27" spans="1:22" x14ac:dyDescent="0.25">
      <c r="A27" s="18" t="s">
        <v>38</v>
      </c>
      <c r="B27" s="19" t="s">
        <v>68</v>
      </c>
      <c r="C27" s="69">
        <f t="shared" si="0"/>
        <v>3.6162817249926302</v>
      </c>
      <c r="D27" s="32">
        <v>8710.14</v>
      </c>
      <c r="E27" s="32">
        <v>5350.35</v>
      </c>
      <c r="F27" s="32">
        <v>2408.59</v>
      </c>
      <c r="G27" s="32">
        <v>3055.53</v>
      </c>
      <c r="H27" s="32">
        <v>646.94000000000005</v>
      </c>
      <c r="I27" s="81">
        <f t="shared" si="1"/>
        <v>0.21199999999999999</v>
      </c>
      <c r="J27" s="32">
        <v>8578.27</v>
      </c>
      <c r="K27" s="32">
        <v>15235.85</v>
      </c>
      <c r="L27" s="32">
        <v>19652.09</v>
      </c>
      <c r="M27" s="32">
        <v>25571.759999999998</v>
      </c>
      <c r="N27" s="32">
        <v>5919.67</v>
      </c>
      <c r="O27" s="81">
        <f t="shared" si="2"/>
        <v>0.23100000000000001</v>
      </c>
      <c r="P27" s="32">
        <v>158609</v>
      </c>
      <c r="Q27" s="32">
        <v>3751.48</v>
      </c>
      <c r="R27" s="32">
        <v>3641.47</v>
      </c>
      <c r="S27" s="32">
        <v>3971.14</v>
      </c>
      <c r="T27" s="32">
        <v>4858.54</v>
      </c>
      <c r="U27" s="32">
        <v>887.4</v>
      </c>
      <c r="V27" s="81">
        <f t="shared" si="3"/>
        <v>0.183</v>
      </c>
    </row>
    <row r="28" spans="1:22" ht="15.75" thickBot="1" x14ac:dyDescent="0.3">
      <c r="A28" s="18" t="s">
        <v>39</v>
      </c>
      <c r="B28" s="19" t="s">
        <v>68</v>
      </c>
      <c r="C28" s="69">
        <f t="shared" si="0"/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s="3" customFormat="1" ht="15.75" thickBot="1" x14ac:dyDescent="0.3">
      <c r="A29" s="2"/>
      <c r="B29" s="87" t="s">
        <v>49</v>
      </c>
      <c r="C29" s="89">
        <f t="shared" si="0"/>
        <v>2.5170735036447449</v>
      </c>
      <c r="D29" s="6">
        <f>SUM(D2:D28)</f>
        <v>262229.07</v>
      </c>
      <c r="E29" s="6">
        <f>SUM(E2:E28)</f>
        <v>195786.92</v>
      </c>
      <c r="F29" s="6">
        <f>SUM(F2:F28)</f>
        <v>104180.13999999998</v>
      </c>
      <c r="G29" s="6">
        <f>SUM(G2:G28)</f>
        <v>134432.84</v>
      </c>
      <c r="H29" s="63">
        <f>SUM(H2:H28)</f>
        <v>30252.700000000004</v>
      </c>
      <c r="I29" s="90">
        <f t="shared" si="1"/>
        <v>0.22500000000000001</v>
      </c>
      <c r="J29" s="63">
        <f>SUM(J2:J28)</f>
        <v>194269.16999999995</v>
      </c>
      <c r="K29" s="63">
        <f>SUM(K2:K28)</f>
        <v>120546.82</v>
      </c>
      <c r="L29" s="63">
        <f>SUM(L2:L28)</f>
        <v>201654.43</v>
      </c>
      <c r="M29" s="63">
        <f>SUM(M2:M28)</f>
        <v>256770.53000000003</v>
      </c>
      <c r="N29" s="63">
        <f>SUM(N2:N28)</f>
        <v>55116.1</v>
      </c>
      <c r="O29" s="90">
        <f t="shared" si="2"/>
        <v>0.215</v>
      </c>
      <c r="P29" s="63">
        <f t="shared" ref="P29:U29" si="4">SUM(P2:P28)</f>
        <v>2863676</v>
      </c>
      <c r="Q29" s="63">
        <f t="shared" si="4"/>
        <v>182512.50999999998</v>
      </c>
      <c r="R29" s="63">
        <f t="shared" si="4"/>
        <v>177883.33</v>
      </c>
      <c r="S29" s="63">
        <f t="shared" si="4"/>
        <v>197429.64</v>
      </c>
      <c r="T29" s="63">
        <f t="shared" si="4"/>
        <v>248451.98</v>
      </c>
      <c r="U29" s="63">
        <f t="shared" si="4"/>
        <v>51022.34</v>
      </c>
      <c r="V29" s="90">
        <f t="shared" si="3"/>
        <v>0.20499999999999999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85A52-0DAE-463F-9609-105C3D41BBC1}">
  <sheetPr codeName="Sheet7">
    <tabColor theme="9" tint="0.59999389629810485"/>
  </sheetPr>
  <dimension ref="A1:V17"/>
  <sheetViews>
    <sheetView zoomScale="90" zoomScaleNormal="90" workbookViewId="0">
      <selection activeCell="C18" sqref="C18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14" t="s">
        <v>36</v>
      </c>
      <c r="B2" s="15" t="s">
        <v>60</v>
      </c>
      <c r="C2" s="68" cm="1">
        <f t="array" ref="C2:V16">'M - All'!C2:V16</f>
        <v>3.9101317692431303</v>
      </c>
      <c r="D2" s="79">
        <v>1946.62</v>
      </c>
      <c r="E2" s="79">
        <v>876.4</v>
      </c>
      <c r="F2" s="79">
        <v>497.84</v>
      </c>
      <c r="G2" s="79">
        <v>772.92</v>
      </c>
      <c r="H2" s="79">
        <v>275.08</v>
      </c>
      <c r="I2" s="80">
        <v>0.35599999999999998</v>
      </c>
      <c r="J2" s="79">
        <v>1555.25</v>
      </c>
      <c r="K2" s="79">
        <v>-32.64</v>
      </c>
      <c r="L2" s="79">
        <v>220.78</v>
      </c>
      <c r="M2" s="79">
        <v>357.96</v>
      </c>
      <c r="N2" s="79">
        <v>137.18</v>
      </c>
      <c r="O2" s="80">
        <v>0.38300000000000001</v>
      </c>
      <c r="P2" s="79">
        <v>5286</v>
      </c>
      <c r="Q2" s="79">
        <v>1227.56</v>
      </c>
      <c r="R2" s="79">
        <v>274.08</v>
      </c>
      <c r="S2" s="79">
        <v>141.31</v>
      </c>
      <c r="T2" s="79">
        <v>211.54</v>
      </c>
      <c r="U2" s="79">
        <v>70.23</v>
      </c>
      <c r="V2" s="80">
        <v>0.33200000000000002</v>
      </c>
    </row>
    <row r="3" spans="1:22" x14ac:dyDescent="0.25">
      <c r="A3" s="16" t="s">
        <v>38</v>
      </c>
      <c r="B3" s="17" t="s">
        <v>60</v>
      </c>
      <c r="C3" s="68">
        <v>4.0348658903113304</v>
      </c>
      <c r="D3" s="79">
        <v>4604.71</v>
      </c>
      <c r="E3" s="79">
        <v>519.6</v>
      </c>
      <c r="F3" s="79">
        <v>1141.23</v>
      </c>
      <c r="G3" s="79">
        <v>1689.69</v>
      </c>
      <c r="H3" s="79">
        <v>548.46</v>
      </c>
      <c r="I3" s="80">
        <v>0.32500000000000001</v>
      </c>
      <c r="J3" s="79">
        <v>8120.39</v>
      </c>
      <c r="K3" s="79">
        <v>2560.16</v>
      </c>
      <c r="L3" s="79">
        <v>1093.48</v>
      </c>
      <c r="M3" s="79">
        <v>1575.72</v>
      </c>
      <c r="N3" s="79">
        <v>482.24</v>
      </c>
      <c r="O3" s="80">
        <v>0.30599999999999999</v>
      </c>
      <c r="P3" s="79">
        <v>9312</v>
      </c>
      <c r="Q3" s="79">
        <v>6824.88</v>
      </c>
      <c r="R3" s="79">
        <v>428</v>
      </c>
      <c r="S3" s="79">
        <v>116.38</v>
      </c>
      <c r="T3" s="79">
        <v>204.9</v>
      </c>
      <c r="U3" s="79">
        <v>88.52</v>
      </c>
      <c r="V3" s="80">
        <v>0.432</v>
      </c>
    </row>
    <row r="4" spans="1:22" x14ac:dyDescent="0.25">
      <c r="A4" s="16" t="s">
        <v>39</v>
      </c>
      <c r="B4" s="17" t="s">
        <v>60</v>
      </c>
      <c r="C4" s="68"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ht="24" x14ac:dyDescent="0.25">
      <c r="A5" s="18" t="s">
        <v>36</v>
      </c>
      <c r="B5" s="19" t="s">
        <v>61</v>
      </c>
      <c r="C5" s="69">
        <v>14.919146057280312</v>
      </c>
      <c r="D5" s="32">
        <v>19846.939999999999</v>
      </c>
      <c r="E5" s="32">
        <v>1094.52</v>
      </c>
      <c r="F5" s="32">
        <v>1330.3</v>
      </c>
      <c r="G5" s="32">
        <v>1933.12</v>
      </c>
      <c r="H5" s="32">
        <v>602.82000000000005</v>
      </c>
      <c r="I5" s="81">
        <v>0.312</v>
      </c>
      <c r="J5" s="32">
        <v>19535.759999999998</v>
      </c>
      <c r="K5" s="32">
        <v>1959.57</v>
      </c>
      <c r="L5" s="32">
        <v>2189.71</v>
      </c>
      <c r="M5" s="32">
        <v>3394.06</v>
      </c>
      <c r="N5" s="32">
        <v>1204.3499999999999</v>
      </c>
      <c r="O5" s="81">
        <v>0.35499999999999998</v>
      </c>
      <c r="P5" s="32">
        <v>49727</v>
      </c>
      <c r="Q5" s="32">
        <v>17320.41</v>
      </c>
      <c r="R5" s="32">
        <v>134</v>
      </c>
      <c r="S5" s="32">
        <v>1704.95</v>
      </c>
      <c r="T5" s="32">
        <v>2840.54</v>
      </c>
      <c r="U5" s="32">
        <v>1135.5899999999999</v>
      </c>
      <c r="V5" s="81">
        <v>0.4</v>
      </c>
    </row>
    <row r="6" spans="1:22" ht="24" x14ac:dyDescent="0.25">
      <c r="A6" s="18" t="s">
        <v>38</v>
      </c>
      <c r="B6" s="19" t="s">
        <v>61</v>
      </c>
      <c r="C6" s="69">
        <v>1216.589189189189</v>
      </c>
      <c r="D6" s="32">
        <v>49515.18</v>
      </c>
      <c r="E6" s="32">
        <v>620.24</v>
      </c>
      <c r="F6" s="32">
        <v>40.700000000000003</v>
      </c>
      <c r="G6" s="32">
        <v>-173.24</v>
      </c>
      <c r="H6" s="32">
        <v>-213.94</v>
      </c>
      <c r="I6" s="81">
        <v>1.2350000000000001</v>
      </c>
      <c r="J6" s="32">
        <v>54207.48</v>
      </c>
      <c r="K6" s="32">
        <v>-19.989999999999998</v>
      </c>
      <c r="L6" s="32">
        <v>307.64999999999998</v>
      </c>
      <c r="M6" s="32">
        <v>566.09</v>
      </c>
      <c r="N6" s="32">
        <v>258.44</v>
      </c>
      <c r="O6" s="81">
        <v>0.45700000000000002</v>
      </c>
      <c r="P6" s="32">
        <v>17696</v>
      </c>
      <c r="Q6" s="32">
        <v>55148.12</v>
      </c>
      <c r="R6" s="32">
        <v>-66.77</v>
      </c>
      <c r="S6" s="32">
        <v>629.42999999999995</v>
      </c>
      <c r="T6" s="32">
        <v>1054.8699999999999</v>
      </c>
      <c r="U6" s="32">
        <v>425.44</v>
      </c>
      <c r="V6" s="81">
        <v>0.40300000000000002</v>
      </c>
    </row>
    <row r="7" spans="1:22" ht="24" x14ac:dyDescent="0.25">
      <c r="A7" s="18" t="s">
        <v>39</v>
      </c>
      <c r="B7" s="19" t="s">
        <v>61</v>
      </c>
      <c r="C7" s="69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36</v>
      </c>
      <c r="B8" s="21" t="s">
        <v>62</v>
      </c>
      <c r="C8" s="70">
        <v>13.352272727272727</v>
      </c>
      <c r="D8" s="33">
        <v>94</v>
      </c>
      <c r="E8" s="33">
        <v>0</v>
      </c>
      <c r="F8" s="33">
        <v>7.04</v>
      </c>
      <c r="G8" s="33">
        <v>29.98</v>
      </c>
      <c r="H8" s="33">
        <v>22.94</v>
      </c>
      <c r="I8" s="82">
        <v>0.76500000000000001</v>
      </c>
      <c r="J8" s="33">
        <v>163</v>
      </c>
      <c r="K8" s="33">
        <v>0</v>
      </c>
      <c r="L8" s="33">
        <v>0</v>
      </c>
      <c r="M8" s="33">
        <v>0</v>
      </c>
      <c r="N8" s="33">
        <v>0</v>
      </c>
      <c r="O8" s="82">
        <v>0</v>
      </c>
      <c r="P8" s="33">
        <v>195</v>
      </c>
      <c r="Q8" s="33">
        <v>185</v>
      </c>
      <c r="R8" s="33">
        <v>0</v>
      </c>
      <c r="S8" s="33">
        <v>8.42</v>
      </c>
      <c r="T8" s="33">
        <v>14.99</v>
      </c>
      <c r="U8" s="33">
        <v>6.57</v>
      </c>
      <c r="V8" s="82">
        <v>0.438</v>
      </c>
    </row>
    <row r="9" spans="1:22" x14ac:dyDescent="0.25">
      <c r="A9" s="20" t="s">
        <v>38</v>
      </c>
      <c r="B9" s="21" t="s">
        <v>62</v>
      </c>
      <c r="C9" s="70" t="e">
        <v>#DIV/0!</v>
      </c>
      <c r="D9" s="33">
        <v>313.01</v>
      </c>
      <c r="E9" s="33">
        <v>0</v>
      </c>
      <c r="F9" s="33">
        <v>0</v>
      </c>
      <c r="G9" s="33">
        <v>0</v>
      </c>
      <c r="H9" s="33">
        <v>0</v>
      </c>
      <c r="I9" s="82">
        <v>0</v>
      </c>
      <c r="J9" s="33">
        <v>521.80999999999995</v>
      </c>
      <c r="K9" s="33">
        <v>0</v>
      </c>
      <c r="L9" s="33">
        <v>0</v>
      </c>
      <c r="M9" s="33">
        <v>0</v>
      </c>
      <c r="N9" s="33">
        <v>0</v>
      </c>
      <c r="O9" s="82">
        <v>0</v>
      </c>
      <c r="P9" s="33">
        <v>119</v>
      </c>
      <c r="Q9" s="33">
        <v>669.91</v>
      </c>
      <c r="R9" s="33">
        <v>0</v>
      </c>
      <c r="S9" s="33">
        <v>5.12</v>
      </c>
      <c r="T9" s="33">
        <v>23.98</v>
      </c>
      <c r="U9" s="33">
        <v>18.86</v>
      </c>
      <c r="V9" s="82">
        <v>0.78600000000000003</v>
      </c>
    </row>
    <row r="10" spans="1:22" x14ac:dyDescent="0.25">
      <c r="A10" s="20" t="s">
        <v>39</v>
      </c>
      <c r="B10" s="21" t="s">
        <v>62</v>
      </c>
      <c r="C10" s="70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36</v>
      </c>
      <c r="B11" s="23" t="s">
        <v>63</v>
      </c>
      <c r="C11" s="71" t="e">
        <v>#DIV/0!</v>
      </c>
      <c r="D11" s="34">
        <v>994.32</v>
      </c>
      <c r="E11" s="34">
        <v>0</v>
      </c>
      <c r="F11" s="34">
        <v>0</v>
      </c>
      <c r="G11" s="34">
        <v>0</v>
      </c>
      <c r="H11" s="34">
        <v>0</v>
      </c>
      <c r="I11" s="83">
        <v>0</v>
      </c>
      <c r="J11" s="34">
        <v>899.97</v>
      </c>
      <c r="K11" s="34">
        <v>209.04</v>
      </c>
      <c r="L11" s="34">
        <v>382.9</v>
      </c>
      <c r="M11" s="34">
        <v>602.79999999999995</v>
      </c>
      <c r="N11" s="34">
        <v>219.9</v>
      </c>
      <c r="O11" s="83">
        <v>0.36499999999999999</v>
      </c>
      <c r="P11" s="34">
        <v>2409</v>
      </c>
      <c r="Q11" s="34">
        <v>769.79</v>
      </c>
      <c r="R11" s="34">
        <v>352.13</v>
      </c>
      <c r="S11" s="34">
        <v>536.4</v>
      </c>
      <c r="T11" s="34">
        <v>822</v>
      </c>
      <c r="U11" s="34">
        <v>285.60000000000002</v>
      </c>
      <c r="V11" s="83">
        <v>0.34699999999999998</v>
      </c>
    </row>
    <row r="12" spans="1:22" x14ac:dyDescent="0.25">
      <c r="A12" s="22" t="s">
        <v>38</v>
      </c>
      <c r="B12" s="23" t="s">
        <v>63</v>
      </c>
      <c r="C12" s="71">
        <v>6.4671021035443275</v>
      </c>
      <c r="D12" s="34">
        <v>1346.58</v>
      </c>
      <c r="E12" s="34">
        <v>360</v>
      </c>
      <c r="F12" s="34">
        <v>208.22</v>
      </c>
      <c r="G12" s="34">
        <v>295.8</v>
      </c>
      <c r="H12" s="34">
        <v>87.58</v>
      </c>
      <c r="I12" s="83">
        <v>0.29599999999999999</v>
      </c>
      <c r="J12" s="34">
        <v>783.21</v>
      </c>
      <c r="K12" s="34">
        <v>-209.04</v>
      </c>
      <c r="L12" s="34">
        <v>0</v>
      </c>
      <c r="M12" s="34">
        <v>0</v>
      </c>
      <c r="N12" s="34">
        <v>0</v>
      </c>
      <c r="O12" s="83">
        <v>0</v>
      </c>
      <c r="P12" s="34">
        <v>6902</v>
      </c>
      <c r="Q12" s="34">
        <v>1236.47</v>
      </c>
      <c r="R12" s="34">
        <v>-352.13</v>
      </c>
      <c r="S12" s="34">
        <v>167.11</v>
      </c>
      <c r="T12" s="34">
        <v>215</v>
      </c>
      <c r="U12" s="34">
        <v>47.89</v>
      </c>
      <c r="V12" s="83">
        <v>0.223</v>
      </c>
    </row>
    <row r="13" spans="1:22" x14ac:dyDescent="0.25">
      <c r="A13" s="22" t="s">
        <v>39</v>
      </c>
      <c r="B13" s="23" t="s">
        <v>63</v>
      </c>
      <c r="C13" s="71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36</v>
      </c>
      <c r="B14" s="25" t="s">
        <v>64</v>
      </c>
      <c r="C14" s="72">
        <v>6.1844812236535835</v>
      </c>
      <c r="D14" s="35">
        <v>5765.73</v>
      </c>
      <c r="E14" s="35">
        <v>659.19</v>
      </c>
      <c r="F14" s="35">
        <v>932.29</v>
      </c>
      <c r="G14" s="35">
        <v>1621.04</v>
      </c>
      <c r="H14" s="35">
        <v>688.75</v>
      </c>
      <c r="I14" s="84">
        <v>0.42499999999999999</v>
      </c>
      <c r="J14" s="35">
        <v>5125.74</v>
      </c>
      <c r="K14" s="35">
        <v>1469.66</v>
      </c>
      <c r="L14" s="35">
        <v>1677.37</v>
      </c>
      <c r="M14" s="35">
        <v>2934.65</v>
      </c>
      <c r="N14" s="35">
        <v>1257.28</v>
      </c>
      <c r="O14" s="84">
        <v>0.42799999999999999</v>
      </c>
      <c r="P14" s="35">
        <v>42444</v>
      </c>
      <c r="Q14" s="35">
        <v>7037.2</v>
      </c>
      <c r="R14" s="35">
        <v>803.2</v>
      </c>
      <c r="S14" s="35">
        <v>1200.1600000000001</v>
      </c>
      <c r="T14" s="35">
        <v>2006.17</v>
      </c>
      <c r="U14" s="35">
        <v>806.01</v>
      </c>
      <c r="V14" s="84">
        <v>0.40200000000000002</v>
      </c>
    </row>
    <row r="15" spans="1:22" x14ac:dyDescent="0.25">
      <c r="A15" s="24" t="s">
        <v>38</v>
      </c>
      <c r="B15" s="25" t="s">
        <v>64</v>
      </c>
      <c r="C15" s="72">
        <v>3.6569261694083379</v>
      </c>
      <c r="D15" s="35">
        <v>14663.25</v>
      </c>
      <c r="E15" s="35">
        <v>2711.25</v>
      </c>
      <c r="F15" s="35">
        <v>4009.72</v>
      </c>
      <c r="G15" s="35">
        <v>6904.78</v>
      </c>
      <c r="H15" s="35">
        <v>2895.06</v>
      </c>
      <c r="I15" s="84">
        <v>0.41899999999999998</v>
      </c>
      <c r="J15" s="35">
        <v>13475.43</v>
      </c>
      <c r="K15" s="35">
        <v>3266.73</v>
      </c>
      <c r="L15" s="35">
        <v>3778.95</v>
      </c>
      <c r="M15" s="35">
        <v>5927.68</v>
      </c>
      <c r="N15" s="35">
        <v>2148.73</v>
      </c>
      <c r="O15" s="84">
        <v>0.36199999999999999</v>
      </c>
      <c r="P15" s="35">
        <v>84722</v>
      </c>
      <c r="Q15" s="35">
        <v>18004.900000000001</v>
      </c>
      <c r="R15" s="35">
        <v>3341.12</v>
      </c>
      <c r="S15" s="35">
        <v>4620.8900000000003</v>
      </c>
      <c r="T15" s="35">
        <v>7924.33</v>
      </c>
      <c r="U15" s="35">
        <v>3303.44</v>
      </c>
      <c r="V15" s="84">
        <v>0.41699999999999998</v>
      </c>
    </row>
    <row r="16" spans="1:22" ht="15.75" thickBot="1" x14ac:dyDescent="0.3">
      <c r="A16" s="24" t="s">
        <v>39</v>
      </c>
      <c r="B16" s="25" t="s">
        <v>64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s="3" customFormat="1" ht="15.75" thickBot="1" x14ac:dyDescent="0.3">
      <c r="A17" s="2"/>
      <c r="B17" s="87" t="s">
        <v>49</v>
      </c>
      <c r="C17" s="89">
        <f>IF(D17=0,0,(D17/(F17/1)))</f>
        <v>12.132510707280463</v>
      </c>
      <c r="D17" s="6">
        <f>SUM(D2:D16)</f>
        <v>99090.34</v>
      </c>
      <c r="E17" s="6">
        <f>SUM(E2:E16)</f>
        <v>6841.2000000000007</v>
      </c>
      <c r="F17" s="6">
        <f>SUM(F2:F16)</f>
        <v>8167.3399999999983</v>
      </c>
      <c r="G17" s="6">
        <f>SUM(G2:G16)</f>
        <v>13074.09</v>
      </c>
      <c r="H17" s="63">
        <f>SUM(H2:H16)</f>
        <v>4906.75</v>
      </c>
      <c r="I17" s="90">
        <f>IF(G17=0,0,(1-(F17/G17)))</f>
        <v>0.37530336719419877</v>
      </c>
      <c r="J17" s="63">
        <f>SUM(J2:J16)</f>
        <v>104388.04000000001</v>
      </c>
      <c r="K17" s="63">
        <f>SUM(K2:K16)</f>
        <v>9203.49</v>
      </c>
      <c r="L17" s="63">
        <f>SUM(L2:L16)</f>
        <v>9650.84</v>
      </c>
      <c r="M17" s="63">
        <f>SUM(M2:M16)</f>
        <v>15358.960000000001</v>
      </c>
      <c r="N17" s="63">
        <f>SUM(N2:N16)</f>
        <v>5708.1200000000008</v>
      </c>
      <c r="O17" s="90">
        <f>IF(M17=0,0,(1-(L17/M17)))</f>
        <v>0.37164755947017247</v>
      </c>
      <c r="P17" s="63">
        <f t="shared" ref="P17:U17" si="0">SUM(P2:P16)</f>
        <v>218812</v>
      </c>
      <c r="Q17" s="63">
        <f t="shared" si="0"/>
        <v>108424.23999999999</v>
      </c>
      <c r="R17" s="63">
        <f t="shared" si="0"/>
        <v>4913.63</v>
      </c>
      <c r="S17" s="63">
        <f t="shared" si="0"/>
        <v>9130.1700000000019</v>
      </c>
      <c r="T17" s="63">
        <f t="shared" si="0"/>
        <v>15318.32</v>
      </c>
      <c r="U17" s="63">
        <f t="shared" si="0"/>
        <v>6188.15</v>
      </c>
      <c r="V17" s="90">
        <f>IF(T17=0,0,(1-(S17/T17)))</f>
        <v>0.40397053985032283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B1A57-1E54-44D4-8F3D-6049E2A1991B}">
  <sheetPr codeName="Sheet8">
    <tabColor theme="9" tint="0.59999389629810485"/>
  </sheetPr>
  <dimension ref="A1:V14"/>
  <sheetViews>
    <sheetView zoomScale="90" zoomScaleNormal="90" workbookViewId="0">
      <selection activeCell="C15" sqref="C15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26" t="s">
        <v>36</v>
      </c>
      <c r="B2" s="27" t="s">
        <v>65</v>
      </c>
      <c r="C2" s="73" cm="1">
        <f t="array" ref="C2:V13">'M - All'!C17:V28</f>
        <v>0.57093103874535767</v>
      </c>
      <c r="D2" s="36">
        <v>1062.28</v>
      </c>
      <c r="E2" s="36">
        <v>2371.0300000000002</v>
      </c>
      <c r="F2" s="36">
        <v>1860.61</v>
      </c>
      <c r="G2" s="36">
        <v>2471.58</v>
      </c>
      <c r="H2" s="36">
        <v>610.97</v>
      </c>
      <c r="I2" s="85">
        <v>0.247</v>
      </c>
      <c r="J2" s="36">
        <v>528.52</v>
      </c>
      <c r="K2" s="36">
        <v>1398</v>
      </c>
      <c r="L2" s="36">
        <v>1397.99</v>
      </c>
      <c r="M2" s="36">
        <v>1831.36</v>
      </c>
      <c r="N2" s="36">
        <v>433.37</v>
      </c>
      <c r="O2" s="85">
        <v>0.23699999999999999</v>
      </c>
      <c r="P2" s="36">
        <v>74721</v>
      </c>
      <c r="Q2" s="36">
        <v>18.399999999999999</v>
      </c>
      <c r="R2" s="36">
        <v>524.74</v>
      </c>
      <c r="S2" s="36">
        <v>888.88</v>
      </c>
      <c r="T2" s="36">
        <v>1277.53</v>
      </c>
      <c r="U2" s="36">
        <v>388.65</v>
      </c>
      <c r="V2" s="85">
        <v>0.30399999999999999</v>
      </c>
    </row>
    <row r="3" spans="1:22" x14ac:dyDescent="0.25">
      <c r="A3" s="26" t="s">
        <v>38</v>
      </c>
      <c r="B3" s="27" t="s">
        <v>65</v>
      </c>
      <c r="C3" s="73">
        <v>1.9921114090648673</v>
      </c>
      <c r="D3" s="36">
        <v>120169.26</v>
      </c>
      <c r="E3" s="36">
        <v>141579.51</v>
      </c>
      <c r="F3" s="36">
        <v>60322.559999999998</v>
      </c>
      <c r="G3" s="36">
        <v>73925.259999999995</v>
      </c>
      <c r="H3" s="36">
        <v>13602.7</v>
      </c>
      <c r="I3" s="85">
        <v>0.184</v>
      </c>
      <c r="J3" s="36">
        <v>49528.11</v>
      </c>
      <c r="K3" s="36">
        <v>27705.73</v>
      </c>
      <c r="L3" s="36">
        <v>102446.2</v>
      </c>
      <c r="M3" s="36">
        <v>123704.88</v>
      </c>
      <c r="N3" s="36">
        <v>21258.68</v>
      </c>
      <c r="O3" s="85">
        <v>0.17199999999999999</v>
      </c>
      <c r="P3" s="36">
        <v>1409700</v>
      </c>
      <c r="Q3" s="36">
        <v>51944.99</v>
      </c>
      <c r="R3" s="36">
        <v>120075.36</v>
      </c>
      <c r="S3" s="36">
        <v>126779.17</v>
      </c>
      <c r="T3" s="36">
        <v>156717.85</v>
      </c>
      <c r="U3" s="36">
        <v>29938.68</v>
      </c>
      <c r="V3" s="85">
        <v>0.191</v>
      </c>
    </row>
    <row r="4" spans="1:22" x14ac:dyDescent="0.25">
      <c r="A4" s="26" t="s">
        <v>39</v>
      </c>
      <c r="B4" s="27" t="s">
        <v>65</v>
      </c>
      <c r="C4" s="73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85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85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85">
        <v>0</v>
      </c>
    </row>
    <row r="5" spans="1:22" x14ac:dyDescent="0.25">
      <c r="A5" s="28" t="s">
        <v>36</v>
      </c>
      <c r="B5" s="29" t="s">
        <v>66</v>
      </c>
      <c r="C5" s="74">
        <v>3.5874725330880475</v>
      </c>
      <c r="D5" s="37">
        <v>2808.13</v>
      </c>
      <c r="E5" s="37">
        <v>330.96</v>
      </c>
      <c r="F5" s="37">
        <v>782.76</v>
      </c>
      <c r="G5" s="37">
        <v>1026.3900000000001</v>
      </c>
      <c r="H5" s="37">
        <v>243.63</v>
      </c>
      <c r="I5" s="86">
        <v>0.23699999999999999</v>
      </c>
      <c r="J5" s="37">
        <v>0</v>
      </c>
      <c r="K5" s="37">
        <v>0</v>
      </c>
      <c r="L5" s="37">
        <v>0</v>
      </c>
      <c r="M5" s="37">
        <v>0</v>
      </c>
      <c r="N5" s="37">
        <v>0</v>
      </c>
      <c r="O5" s="86">
        <v>0</v>
      </c>
      <c r="P5" s="37">
        <v>21531</v>
      </c>
      <c r="Q5" s="37">
        <v>126.49</v>
      </c>
      <c r="R5" s="37">
        <v>134.99</v>
      </c>
      <c r="S5" s="37">
        <v>8.5</v>
      </c>
      <c r="T5" s="37">
        <v>11.5</v>
      </c>
      <c r="U5" s="37">
        <v>3</v>
      </c>
      <c r="V5" s="86">
        <v>0.26100000000000001</v>
      </c>
    </row>
    <row r="6" spans="1:22" x14ac:dyDescent="0.25">
      <c r="A6" s="28" t="s">
        <v>38</v>
      </c>
      <c r="B6" s="29" t="s">
        <v>66</v>
      </c>
      <c r="C6" s="74">
        <v>1.0537253094516046</v>
      </c>
      <c r="D6" s="37">
        <v>25788.81</v>
      </c>
      <c r="E6" s="37">
        <v>31843.77</v>
      </c>
      <c r="F6" s="37">
        <v>24473.94</v>
      </c>
      <c r="G6" s="37">
        <v>31693.59</v>
      </c>
      <c r="H6" s="37">
        <v>7219.65</v>
      </c>
      <c r="I6" s="86">
        <v>0.22800000000000001</v>
      </c>
      <c r="J6" s="37">
        <v>20664.080000000002</v>
      </c>
      <c r="K6" s="37">
        <v>46050.59</v>
      </c>
      <c r="L6" s="37">
        <v>46900.58</v>
      </c>
      <c r="M6" s="37">
        <v>60490.25</v>
      </c>
      <c r="N6" s="37">
        <v>13589.67</v>
      </c>
      <c r="O6" s="86">
        <v>0.22500000000000001</v>
      </c>
      <c r="P6" s="37">
        <v>585489</v>
      </c>
      <c r="Q6" s="37">
        <v>13774.67</v>
      </c>
      <c r="R6" s="37">
        <v>43156.43</v>
      </c>
      <c r="S6" s="37">
        <v>48818.879999999997</v>
      </c>
      <c r="T6" s="37">
        <v>59952.52</v>
      </c>
      <c r="U6" s="37">
        <v>11133.64</v>
      </c>
      <c r="V6" s="86">
        <v>0.186</v>
      </c>
    </row>
    <row r="7" spans="1:22" x14ac:dyDescent="0.25">
      <c r="A7" s="28" t="s">
        <v>39</v>
      </c>
      <c r="B7" s="29" t="s">
        <v>66</v>
      </c>
      <c r="C7" s="74">
        <v>0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86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86">
        <v>0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0</v>
      </c>
      <c r="V7" s="86">
        <v>0</v>
      </c>
    </row>
    <row r="8" spans="1:22" x14ac:dyDescent="0.25">
      <c r="A8" s="16" t="s">
        <v>36</v>
      </c>
      <c r="B8" s="17" t="s">
        <v>67</v>
      </c>
      <c r="C8" s="68">
        <v>0</v>
      </c>
      <c r="D8" s="79">
        <v>0</v>
      </c>
      <c r="E8" s="79">
        <v>148.63999999999999</v>
      </c>
      <c r="F8" s="79">
        <v>148.63999999999999</v>
      </c>
      <c r="G8" s="79">
        <v>220.48</v>
      </c>
      <c r="H8" s="79">
        <v>71.84</v>
      </c>
      <c r="I8" s="80">
        <v>0.32600000000000001</v>
      </c>
      <c r="J8" s="79">
        <v>16.8</v>
      </c>
      <c r="K8" s="79">
        <v>1325.05</v>
      </c>
      <c r="L8" s="79">
        <v>1322.88</v>
      </c>
      <c r="M8" s="79">
        <v>1828.26</v>
      </c>
      <c r="N8" s="79">
        <v>505.38</v>
      </c>
      <c r="O8" s="80">
        <v>0.27600000000000002</v>
      </c>
      <c r="P8" s="79">
        <v>29720</v>
      </c>
      <c r="Q8" s="79">
        <v>240</v>
      </c>
      <c r="R8" s="79">
        <v>302.08</v>
      </c>
      <c r="S8" s="79">
        <v>62.08</v>
      </c>
      <c r="T8" s="79">
        <v>85.28</v>
      </c>
      <c r="U8" s="79">
        <v>23.2</v>
      </c>
      <c r="V8" s="80">
        <v>0.27200000000000002</v>
      </c>
    </row>
    <row r="9" spans="1:22" x14ac:dyDescent="0.25">
      <c r="A9" s="16" t="s">
        <v>38</v>
      </c>
      <c r="B9" s="17" t="s">
        <v>67</v>
      </c>
      <c r="C9" s="68">
        <v>0.76468407666605709</v>
      </c>
      <c r="D9" s="79">
        <v>4600.1099999999997</v>
      </c>
      <c r="E9" s="79">
        <v>7321.46</v>
      </c>
      <c r="F9" s="79">
        <v>6015.7</v>
      </c>
      <c r="G9" s="79">
        <v>8965.92</v>
      </c>
      <c r="H9" s="79">
        <v>2950.22</v>
      </c>
      <c r="I9" s="80">
        <v>0.32900000000000001</v>
      </c>
      <c r="J9" s="79">
        <v>10555.55</v>
      </c>
      <c r="K9" s="79">
        <v>19618.310000000001</v>
      </c>
      <c r="L9" s="79">
        <v>20283.849999999999</v>
      </c>
      <c r="M9" s="79">
        <v>27985.06</v>
      </c>
      <c r="N9" s="79">
        <v>7701.21</v>
      </c>
      <c r="O9" s="80">
        <v>0.27500000000000002</v>
      </c>
      <c r="P9" s="79">
        <v>363021</v>
      </c>
      <c r="Q9" s="79">
        <v>4232.24</v>
      </c>
      <c r="R9" s="79">
        <v>5134.63</v>
      </c>
      <c r="S9" s="79">
        <v>7770.82</v>
      </c>
      <c r="T9" s="79">
        <v>10230.44</v>
      </c>
      <c r="U9" s="79">
        <v>2459.62</v>
      </c>
      <c r="V9" s="80">
        <v>0.24</v>
      </c>
    </row>
    <row r="10" spans="1:22" x14ac:dyDescent="0.25">
      <c r="A10" s="16" t="s">
        <v>39</v>
      </c>
      <c r="B10" s="17" t="s">
        <v>67</v>
      </c>
      <c r="C10" s="68">
        <v>0</v>
      </c>
      <c r="D10" s="79">
        <v>0</v>
      </c>
      <c r="E10" s="79">
        <v>0</v>
      </c>
      <c r="F10" s="79">
        <v>0</v>
      </c>
      <c r="G10" s="79">
        <v>0</v>
      </c>
      <c r="H10" s="79">
        <v>0</v>
      </c>
      <c r="I10" s="80">
        <v>0</v>
      </c>
      <c r="J10" s="79">
        <v>0</v>
      </c>
      <c r="K10" s="79">
        <v>0</v>
      </c>
      <c r="L10" s="79">
        <v>0</v>
      </c>
      <c r="M10" s="79">
        <v>0</v>
      </c>
      <c r="N10" s="79">
        <v>0</v>
      </c>
      <c r="O10" s="80">
        <v>0</v>
      </c>
      <c r="P10" s="79">
        <v>0</v>
      </c>
      <c r="Q10" s="79">
        <v>0</v>
      </c>
      <c r="R10" s="79">
        <v>0</v>
      </c>
      <c r="S10" s="79">
        <v>0</v>
      </c>
      <c r="T10" s="79">
        <v>0</v>
      </c>
      <c r="U10" s="79">
        <v>0</v>
      </c>
      <c r="V10" s="80">
        <v>0</v>
      </c>
    </row>
    <row r="11" spans="1:22" x14ac:dyDescent="0.25">
      <c r="A11" s="18" t="s">
        <v>36</v>
      </c>
      <c r="B11" s="19" t="s">
        <v>68</v>
      </c>
      <c r="C11" s="69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81">
        <v>0</v>
      </c>
      <c r="J11" s="32">
        <v>9.8000000000000007</v>
      </c>
      <c r="K11" s="32">
        <v>9.8000000000000007</v>
      </c>
      <c r="L11" s="32">
        <v>0</v>
      </c>
      <c r="M11" s="32">
        <v>0</v>
      </c>
      <c r="N11" s="32">
        <v>0</v>
      </c>
      <c r="O11" s="81">
        <v>0</v>
      </c>
      <c r="P11" s="32">
        <v>2073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81">
        <v>0</v>
      </c>
    </row>
    <row r="12" spans="1:22" x14ac:dyDescent="0.25">
      <c r="A12" s="18" t="s">
        <v>38</v>
      </c>
      <c r="B12" s="19" t="s">
        <v>68</v>
      </c>
      <c r="C12" s="69">
        <v>3.6162817249926302</v>
      </c>
      <c r="D12" s="32">
        <v>8710.14</v>
      </c>
      <c r="E12" s="32">
        <v>5350.35</v>
      </c>
      <c r="F12" s="32">
        <v>2408.59</v>
      </c>
      <c r="G12" s="32">
        <v>3055.53</v>
      </c>
      <c r="H12" s="32">
        <v>646.94000000000005</v>
      </c>
      <c r="I12" s="81">
        <v>0.21199999999999999</v>
      </c>
      <c r="J12" s="32">
        <v>8578.27</v>
      </c>
      <c r="K12" s="32">
        <v>15235.85</v>
      </c>
      <c r="L12" s="32">
        <v>19652.09</v>
      </c>
      <c r="M12" s="32">
        <v>25571.759999999998</v>
      </c>
      <c r="N12" s="32">
        <v>5919.67</v>
      </c>
      <c r="O12" s="81">
        <v>0.23100000000000001</v>
      </c>
      <c r="P12" s="32">
        <v>158609</v>
      </c>
      <c r="Q12" s="32">
        <v>3751.48</v>
      </c>
      <c r="R12" s="32">
        <v>3641.47</v>
      </c>
      <c r="S12" s="32">
        <v>3971.14</v>
      </c>
      <c r="T12" s="32">
        <v>4858.54</v>
      </c>
      <c r="U12" s="32">
        <v>887.4</v>
      </c>
      <c r="V12" s="81">
        <v>0.183</v>
      </c>
    </row>
    <row r="13" spans="1:22" ht="15.75" thickBot="1" x14ac:dyDescent="0.3">
      <c r="A13" s="18" t="s">
        <v>39</v>
      </c>
      <c r="B13" s="19" t="s">
        <v>68</v>
      </c>
      <c r="C13" s="69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81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81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81">
        <v>0</v>
      </c>
    </row>
    <row r="14" spans="1:22" s="3" customFormat="1" ht="15.75" thickBot="1" x14ac:dyDescent="0.3">
      <c r="A14" s="2"/>
      <c r="B14" s="87" t="s">
        <v>49</v>
      </c>
      <c r="C14" s="89">
        <f>IF(D14=0,0,(D14/(F14/1)))</f>
        <v>1.6991352194707372</v>
      </c>
      <c r="D14" s="6">
        <f>SUM(D2:D13)</f>
        <v>163138.72999999998</v>
      </c>
      <c r="E14" s="6">
        <f>SUM(E2:E13)</f>
        <v>188945.72</v>
      </c>
      <c r="F14" s="6">
        <f>SUM(F2:F13)</f>
        <v>96012.799999999988</v>
      </c>
      <c r="G14" s="6">
        <f>SUM(G2:G13)</f>
        <v>121358.74999999999</v>
      </c>
      <c r="H14" s="63">
        <f>SUM(H2:H13)</f>
        <v>25345.949999999997</v>
      </c>
      <c r="I14" s="90">
        <f>IF(G14=0,0,(1-(F14/G14)))</f>
        <v>0.20885144252062582</v>
      </c>
      <c r="J14" s="63">
        <f>SUM(J2:J13)</f>
        <v>89881.13</v>
      </c>
      <c r="K14" s="63">
        <f>SUM(K2:K13)</f>
        <v>111343.33</v>
      </c>
      <c r="L14" s="63">
        <f>SUM(L2:L13)</f>
        <v>192003.59000000003</v>
      </c>
      <c r="M14" s="63">
        <f>SUM(M2:M13)</f>
        <v>241411.57</v>
      </c>
      <c r="N14" s="63">
        <f>SUM(N2:N13)</f>
        <v>49407.979999999996</v>
      </c>
      <c r="O14" s="90">
        <f>IF(M14=0,0,(1-(L14/M14)))</f>
        <v>0.20466285025195763</v>
      </c>
      <c r="P14" s="63">
        <f t="shared" ref="P14:U14" si="0">SUM(P2:P13)</f>
        <v>2644864</v>
      </c>
      <c r="Q14" s="63">
        <f t="shared" si="0"/>
        <v>74088.27</v>
      </c>
      <c r="R14" s="63">
        <f t="shared" si="0"/>
        <v>172969.7</v>
      </c>
      <c r="S14" s="63">
        <f t="shared" si="0"/>
        <v>188299.47</v>
      </c>
      <c r="T14" s="63">
        <f t="shared" si="0"/>
        <v>233133.66</v>
      </c>
      <c r="U14" s="63">
        <f t="shared" si="0"/>
        <v>44834.19</v>
      </c>
      <c r="V14" s="90">
        <f>IF(T14=0,0,(1-(S14/T14)))</f>
        <v>0.19231109741939456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2773-6255-4D17-B400-927B5E8F5F26}">
  <sheetPr codeName="Sheet9">
    <tabColor theme="9" tint="0.39997558519241921"/>
  </sheetPr>
  <dimension ref="A1:V50"/>
  <sheetViews>
    <sheetView zoomScale="90" zoomScaleNormal="90" workbookViewId="0">
      <pane ySplit="1" topLeftCell="A2" activePane="bottomLeft" state="frozen"/>
      <selection pane="bottomLeft" activeCell="B2" sqref="B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31</v>
      </c>
      <c r="B1" s="137" t="s">
        <v>32</v>
      </c>
      <c r="C1" s="137" t="s">
        <v>1</v>
      </c>
      <c r="D1" s="137" t="s">
        <v>151</v>
      </c>
      <c r="E1" s="137" t="s">
        <v>152</v>
      </c>
      <c r="F1" s="137" t="s">
        <v>153</v>
      </c>
      <c r="G1" s="137" t="s">
        <v>154</v>
      </c>
      <c r="H1" s="137" t="s">
        <v>33</v>
      </c>
      <c r="I1" s="77" t="s">
        <v>34</v>
      </c>
      <c r="J1" s="137" t="s">
        <v>143</v>
      </c>
      <c r="K1" s="137" t="s">
        <v>144</v>
      </c>
      <c r="L1" s="137" t="s">
        <v>145</v>
      </c>
      <c r="M1" s="137" t="s">
        <v>146</v>
      </c>
      <c r="N1" s="137" t="s">
        <v>155</v>
      </c>
      <c r="O1" s="77" t="s">
        <v>156</v>
      </c>
      <c r="P1" s="137" t="s">
        <v>35</v>
      </c>
      <c r="Q1" s="137" t="s">
        <v>147</v>
      </c>
      <c r="R1" s="137" t="s">
        <v>148</v>
      </c>
      <c r="S1" s="137" t="s">
        <v>149</v>
      </c>
      <c r="T1" s="137" t="s">
        <v>150</v>
      </c>
      <c r="U1" s="137" t="s">
        <v>96</v>
      </c>
      <c r="V1" s="77" t="s">
        <v>157</v>
      </c>
    </row>
    <row r="2" spans="1:22" x14ac:dyDescent="0.25">
      <c r="A2" s="39" t="s">
        <v>36</v>
      </c>
      <c r="B2" s="40" t="s">
        <v>69</v>
      </c>
      <c r="C2" s="68">
        <f>IF(D2=0,0,(D2/(F2/1)))</f>
        <v>6.5213784978419014</v>
      </c>
      <c r="D2" s="79">
        <v>30112.400000000001</v>
      </c>
      <c r="E2" s="79">
        <v>4340.37</v>
      </c>
      <c r="F2" s="79">
        <v>4617.49</v>
      </c>
      <c r="G2" s="79">
        <v>7703.26</v>
      </c>
      <c r="H2" s="79">
        <v>3085.77</v>
      </c>
      <c r="I2" s="80">
        <f>IF(G2=0,0,ROUND((1-F2/G2),3))</f>
        <v>0.40100000000000002</v>
      </c>
      <c r="J2" s="79">
        <v>29089.83</v>
      </c>
      <c r="K2" s="79">
        <v>5212.53</v>
      </c>
      <c r="L2" s="79">
        <v>4997.04</v>
      </c>
      <c r="M2" s="79">
        <v>8074.19</v>
      </c>
      <c r="N2" s="79">
        <v>3077.15</v>
      </c>
      <c r="O2" s="80">
        <f>IF(M2=0,0,ROUND((1-L2/M2),3))</f>
        <v>0.38100000000000001</v>
      </c>
      <c r="P2" s="79">
        <v>108680</v>
      </c>
      <c r="Q2" s="79">
        <v>25408.31</v>
      </c>
      <c r="R2" s="79">
        <v>3271.31</v>
      </c>
      <c r="S2" s="79">
        <v>5491.47</v>
      </c>
      <c r="T2" s="79">
        <v>9172.25</v>
      </c>
      <c r="U2" s="79">
        <v>3680.78</v>
      </c>
      <c r="V2" s="80">
        <f>IF(T2=0,0,ROUND((1-S2/T2),3))</f>
        <v>0.40100000000000002</v>
      </c>
    </row>
    <row r="3" spans="1:22" x14ac:dyDescent="0.25">
      <c r="A3" s="41" t="s">
        <v>38</v>
      </c>
      <c r="B3" s="42" t="s">
        <v>69</v>
      </c>
      <c r="C3" s="68">
        <f t="shared" ref="C3:C50" si="0">IF(D3=0,0,(D3/(F3/1)))</f>
        <v>22.336374304954038</v>
      </c>
      <c r="D3" s="79">
        <v>15987.93</v>
      </c>
      <c r="E3" s="79">
        <v>786.27</v>
      </c>
      <c r="F3" s="79">
        <v>715.78</v>
      </c>
      <c r="G3" s="79">
        <v>1154.97</v>
      </c>
      <c r="H3" s="79">
        <v>439.19</v>
      </c>
      <c r="I3" s="80">
        <f t="shared" ref="I3:I50" si="1">IF(G3=0,0,ROUND((1-F3/G3),3))</f>
        <v>0.38</v>
      </c>
      <c r="J3" s="79">
        <v>19635.8</v>
      </c>
      <c r="K3" s="79">
        <v>1337.19</v>
      </c>
      <c r="L3" s="79">
        <v>804.19</v>
      </c>
      <c r="M3" s="79">
        <v>1333.27</v>
      </c>
      <c r="N3" s="79">
        <v>529.08000000000004</v>
      </c>
      <c r="O3" s="80">
        <f t="shared" ref="O3:O50" si="2">IF(M3=0,0,ROUND((1-L3/M3),3))</f>
        <v>0.39700000000000002</v>
      </c>
      <c r="P3" s="79">
        <v>20866</v>
      </c>
      <c r="Q3" s="79">
        <v>10839.98</v>
      </c>
      <c r="R3" s="79">
        <v>1779.29</v>
      </c>
      <c r="S3" s="79">
        <v>617.45000000000005</v>
      </c>
      <c r="T3" s="79">
        <v>1066.77</v>
      </c>
      <c r="U3" s="79">
        <v>449.32</v>
      </c>
      <c r="V3" s="80">
        <f t="shared" ref="V3:V50" si="3">IF(T3=0,0,ROUND((1-S3/T3),3))</f>
        <v>0.42099999999999999</v>
      </c>
    </row>
    <row r="4" spans="1:22" x14ac:dyDescent="0.25">
      <c r="A4" s="41" t="s">
        <v>39</v>
      </c>
      <c r="B4" s="42" t="s">
        <v>69</v>
      </c>
      <c r="C4" s="68" t="e">
        <f t="shared" si="0"/>
        <v>#DIV/0!</v>
      </c>
      <c r="D4" s="79">
        <v>246.98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248.85</v>
      </c>
      <c r="K4" s="79">
        <v>0</v>
      </c>
      <c r="L4" s="79">
        <v>1.48</v>
      </c>
      <c r="M4" s="79">
        <v>8.94</v>
      </c>
      <c r="N4" s="79">
        <v>7.46</v>
      </c>
      <c r="O4" s="80">
        <f t="shared" si="2"/>
        <v>0.83399999999999996</v>
      </c>
      <c r="P4" s="79">
        <v>222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36</v>
      </c>
      <c r="B5" s="19" t="s">
        <v>70</v>
      </c>
      <c r="C5" s="69">
        <f t="shared" si="0"/>
        <v>6.7174442821136759</v>
      </c>
      <c r="D5" s="32">
        <v>111085.57</v>
      </c>
      <c r="E5" s="32">
        <v>12028.2</v>
      </c>
      <c r="F5" s="32">
        <v>16536.88</v>
      </c>
      <c r="G5" s="32">
        <v>23918.28</v>
      </c>
      <c r="H5" s="32">
        <v>7381.4</v>
      </c>
      <c r="I5" s="81">
        <f t="shared" si="1"/>
        <v>0.309</v>
      </c>
      <c r="J5" s="32">
        <v>131143.22</v>
      </c>
      <c r="K5" s="32">
        <v>15571.67</v>
      </c>
      <c r="L5" s="32">
        <v>17067.12</v>
      </c>
      <c r="M5" s="32">
        <v>25443.279999999999</v>
      </c>
      <c r="N5" s="32">
        <v>8376.16</v>
      </c>
      <c r="O5" s="81">
        <f t="shared" si="2"/>
        <v>0.32900000000000001</v>
      </c>
      <c r="P5" s="32">
        <v>324821</v>
      </c>
      <c r="Q5" s="32">
        <v>140762.74</v>
      </c>
      <c r="R5" s="32">
        <v>20134.740000000002</v>
      </c>
      <c r="S5" s="32">
        <v>19280.23</v>
      </c>
      <c r="T5" s="32">
        <v>28888.03</v>
      </c>
      <c r="U5" s="32">
        <v>9607.7999999999993</v>
      </c>
      <c r="V5" s="81">
        <f t="shared" si="3"/>
        <v>0.33300000000000002</v>
      </c>
    </row>
    <row r="6" spans="1:22" x14ac:dyDescent="0.25">
      <c r="A6" s="18" t="s">
        <v>38</v>
      </c>
      <c r="B6" s="19" t="s">
        <v>70</v>
      </c>
      <c r="C6" s="69">
        <f t="shared" si="0"/>
        <v>28.851476855948288</v>
      </c>
      <c r="D6" s="32">
        <v>42714.9</v>
      </c>
      <c r="E6" s="32">
        <v>1572.52</v>
      </c>
      <c r="F6" s="32">
        <v>1480.51</v>
      </c>
      <c r="G6" s="32">
        <v>2336.87</v>
      </c>
      <c r="H6" s="32">
        <v>856.36</v>
      </c>
      <c r="I6" s="81">
        <f t="shared" si="1"/>
        <v>0.36599999999999999</v>
      </c>
      <c r="J6" s="32">
        <v>43960.32</v>
      </c>
      <c r="K6" s="32">
        <v>560.66999999999996</v>
      </c>
      <c r="L6" s="32">
        <v>1861.87</v>
      </c>
      <c r="M6" s="32">
        <v>2840.78</v>
      </c>
      <c r="N6" s="32">
        <v>978.91</v>
      </c>
      <c r="O6" s="81">
        <f t="shared" si="2"/>
        <v>0.34499999999999997</v>
      </c>
      <c r="P6" s="32">
        <v>44111</v>
      </c>
      <c r="Q6" s="32">
        <v>46141.63</v>
      </c>
      <c r="R6" s="32">
        <v>4715.21</v>
      </c>
      <c r="S6" s="32">
        <v>2419.62</v>
      </c>
      <c r="T6" s="32">
        <v>3564.99</v>
      </c>
      <c r="U6" s="32">
        <v>1145.3699999999999</v>
      </c>
      <c r="V6" s="81">
        <f t="shared" si="3"/>
        <v>0.32100000000000001</v>
      </c>
    </row>
    <row r="7" spans="1:22" x14ac:dyDescent="0.25">
      <c r="A7" s="18" t="s">
        <v>39</v>
      </c>
      <c r="B7" s="19" t="s">
        <v>70</v>
      </c>
      <c r="C7" s="69" t="e">
        <f t="shared" si="0"/>
        <v>#DIV/0!</v>
      </c>
      <c r="D7" s="32">
        <v>376.65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3394.2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757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36</v>
      </c>
      <c r="B8" s="21" t="s">
        <v>71</v>
      </c>
      <c r="C8" s="70">
        <f t="shared" si="0"/>
        <v>2.4460928997019624</v>
      </c>
      <c r="D8" s="33">
        <v>108574.75</v>
      </c>
      <c r="E8" s="33">
        <v>38799.699999999997</v>
      </c>
      <c r="F8" s="33">
        <v>44387.01</v>
      </c>
      <c r="G8" s="33">
        <v>68410.41</v>
      </c>
      <c r="H8" s="33">
        <v>24023.4</v>
      </c>
      <c r="I8" s="82">
        <f t="shared" si="1"/>
        <v>0.35099999999999998</v>
      </c>
      <c r="J8" s="33">
        <v>95448.12</v>
      </c>
      <c r="K8" s="33">
        <v>30260.97</v>
      </c>
      <c r="L8" s="33">
        <v>25695.22</v>
      </c>
      <c r="M8" s="33">
        <v>47359.11</v>
      </c>
      <c r="N8" s="33">
        <v>21663.89</v>
      </c>
      <c r="O8" s="82">
        <f t="shared" si="2"/>
        <v>0.45700000000000002</v>
      </c>
      <c r="P8" s="33">
        <v>688731</v>
      </c>
      <c r="Q8" s="33">
        <v>89057.4</v>
      </c>
      <c r="R8" s="33">
        <v>30512.639999999999</v>
      </c>
      <c r="S8" s="33">
        <v>32044.77</v>
      </c>
      <c r="T8" s="33">
        <v>59919.74</v>
      </c>
      <c r="U8" s="33">
        <v>27874.97</v>
      </c>
      <c r="V8" s="82">
        <f t="shared" si="3"/>
        <v>0.46500000000000002</v>
      </c>
    </row>
    <row r="9" spans="1:22" x14ac:dyDescent="0.25">
      <c r="A9" s="20" t="s">
        <v>38</v>
      </c>
      <c r="B9" s="21" t="s">
        <v>71</v>
      </c>
      <c r="C9" s="70">
        <f t="shared" si="0"/>
        <v>10.716373948309984</v>
      </c>
      <c r="D9" s="33">
        <v>87936.85</v>
      </c>
      <c r="E9" s="33">
        <v>7377.36</v>
      </c>
      <c r="F9" s="33">
        <v>8205.84</v>
      </c>
      <c r="G9" s="33">
        <v>13625.33</v>
      </c>
      <c r="H9" s="33">
        <v>5419.49</v>
      </c>
      <c r="I9" s="82">
        <f t="shared" si="1"/>
        <v>0.39800000000000002</v>
      </c>
      <c r="J9" s="33">
        <v>90433.4</v>
      </c>
      <c r="K9" s="33">
        <v>9128.5400000000009</v>
      </c>
      <c r="L9" s="33">
        <v>10165.74</v>
      </c>
      <c r="M9" s="33">
        <v>17529.72</v>
      </c>
      <c r="N9" s="33">
        <v>7363.98</v>
      </c>
      <c r="O9" s="82">
        <f t="shared" si="2"/>
        <v>0.42</v>
      </c>
      <c r="P9" s="33">
        <v>255192</v>
      </c>
      <c r="Q9" s="33">
        <v>68048.88</v>
      </c>
      <c r="R9" s="33">
        <v>12782.51</v>
      </c>
      <c r="S9" s="33">
        <v>13693.16</v>
      </c>
      <c r="T9" s="33">
        <v>23108.62</v>
      </c>
      <c r="U9" s="33">
        <v>9415.4599999999991</v>
      </c>
      <c r="V9" s="82">
        <f t="shared" si="3"/>
        <v>0.40699999999999997</v>
      </c>
    </row>
    <row r="10" spans="1:22" x14ac:dyDescent="0.25">
      <c r="A10" s="20" t="s">
        <v>39</v>
      </c>
      <c r="B10" s="21" t="s">
        <v>71</v>
      </c>
      <c r="C10" s="70">
        <f t="shared" si="0"/>
        <v>540</v>
      </c>
      <c r="D10" s="33">
        <v>32.4</v>
      </c>
      <c r="E10" s="33">
        <v>0</v>
      </c>
      <c r="F10" s="33">
        <v>0.06</v>
      </c>
      <c r="G10" s="33">
        <v>7.0000000000000007E-2</v>
      </c>
      <c r="H10" s="33">
        <v>0.01</v>
      </c>
      <c r="I10" s="82">
        <f t="shared" si="1"/>
        <v>0.14299999999999999</v>
      </c>
      <c r="J10" s="33">
        <v>36.229999999999997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36</v>
      </c>
      <c r="B11" s="23" t="s">
        <v>72</v>
      </c>
      <c r="C11" s="71">
        <f t="shared" si="0"/>
        <v>4.1155016273040834</v>
      </c>
      <c r="D11" s="34">
        <v>65135.18</v>
      </c>
      <c r="E11" s="34">
        <v>18127.650000000001</v>
      </c>
      <c r="F11" s="34">
        <v>15826.79</v>
      </c>
      <c r="G11" s="34">
        <v>22064.53</v>
      </c>
      <c r="H11" s="34">
        <v>6237.74</v>
      </c>
      <c r="I11" s="83">
        <f t="shared" si="1"/>
        <v>0.28299999999999997</v>
      </c>
      <c r="J11" s="34">
        <v>63346</v>
      </c>
      <c r="K11" s="34">
        <v>17349.25</v>
      </c>
      <c r="L11" s="34">
        <v>16865.310000000001</v>
      </c>
      <c r="M11" s="34">
        <v>24397.81</v>
      </c>
      <c r="N11" s="34">
        <v>7532.5</v>
      </c>
      <c r="O11" s="83">
        <f t="shared" si="2"/>
        <v>0.309</v>
      </c>
      <c r="P11" s="34">
        <v>322319</v>
      </c>
      <c r="Q11" s="34">
        <v>54975.94</v>
      </c>
      <c r="R11" s="34">
        <v>8335.2000000000007</v>
      </c>
      <c r="S11" s="34">
        <v>14616.95</v>
      </c>
      <c r="T11" s="34">
        <v>23666.78</v>
      </c>
      <c r="U11" s="34">
        <v>9049.83</v>
      </c>
      <c r="V11" s="83">
        <f t="shared" si="3"/>
        <v>0.38200000000000001</v>
      </c>
    </row>
    <row r="12" spans="1:22" x14ac:dyDescent="0.25">
      <c r="A12" s="22" t="s">
        <v>38</v>
      </c>
      <c r="B12" s="23" t="s">
        <v>72</v>
      </c>
      <c r="C12" s="71">
        <f t="shared" si="0"/>
        <v>14.988312234451357</v>
      </c>
      <c r="D12" s="34">
        <v>41344.36</v>
      </c>
      <c r="E12" s="34">
        <v>-8480.5400000000009</v>
      </c>
      <c r="F12" s="34">
        <v>2758.44</v>
      </c>
      <c r="G12" s="34">
        <v>3666.59</v>
      </c>
      <c r="H12" s="34">
        <v>908.15</v>
      </c>
      <c r="I12" s="83">
        <f t="shared" si="1"/>
        <v>0.248</v>
      </c>
      <c r="J12" s="34">
        <v>35391.21</v>
      </c>
      <c r="K12" s="34">
        <v>8652.73</v>
      </c>
      <c r="L12" s="34">
        <v>1771.04</v>
      </c>
      <c r="M12" s="34">
        <v>2461.84</v>
      </c>
      <c r="N12" s="34">
        <v>690.8</v>
      </c>
      <c r="O12" s="83">
        <f t="shared" si="2"/>
        <v>0.28100000000000003</v>
      </c>
      <c r="P12" s="34">
        <v>77641</v>
      </c>
      <c r="Q12" s="34">
        <v>31593.79</v>
      </c>
      <c r="R12" s="34">
        <v>-2188.0100000000002</v>
      </c>
      <c r="S12" s="34">
        <v>1889.36</v>
      </c>
      <c r="T12" s="34">
        <v>2710.01</v>
      </c>
      <c r="U12" s="34">
        <v>820.65</v>
      </c>
      <c r="V12" s="83">
        <f t="shared" si="3"/>
        <v>0.30299999999999999</v>
      </c>
    </row>
    <row r="13" spans="1:22" x14ac:dyDescent="0.25">
      <c r="A13" s="22" t="s">
        <v>39</v>
      </c>
      <c r="B13" s="23" t="s">
        <v>72</v>
      </c>
      <c r="C13" s="71">
        <f t="shared" si="0"/>
        <v>319.28971962616822</v>
      </c>
      <c r="D13" s="34">
        <v>341.64</v>
      </c>
      <c r="E13" s="34">
        <v>0</v>
      </c>
      <c r="F13" s="34">
        <v>1.07</v>
      </c>
      <c r="G13" s="34">
        <v>1.99</v>
      </c>
      <c r="H13" s="34">
        <v>0.92</v>
      </c>
      <c r="I13" s="83">
        <f t="shared" si="1"/>
        <v>0.46200000000000002</v>
      </c>
      <c r="J13" s="34">
        <v>256.58999999999997</v>
      </c>
      <c r="K13" s="34">
        <v>22.93</v>
      </c>
      <c r="L13" s="34">
        <v>24.27</v>
      </c>
      <c r="M13" s="34">
        <v>29.99</v>
      </c>
      <c r="N13" s="34">
        <v>5.72</v>
      </c>
      <c r="O13" s="83">
        <f t="shared" si="2"/>
        <v>0.191</v>
      </c>
      <c r="P13" s="34">
        <v>109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36</v>
      </c>
      <c r="B14" s="25" t="s">
        <v>73</v>
      </c>
      <c r="C14" s="72">
        <f t="shared" si="0"/>
        <v>10.682818595682461</v>
      </c>
      <c r="D14" s="35">
        <v>33462.22</v>
      </c>
      <c r="E14" s="35">
        <v>3370.96</v>
      </c>
      <c r="F14" s="35">
        <v>3132.34</v>
      </c>
      <c r="G14" s="35">
        <v>5504.43</v>
      </c>
      <c r="H14" s="35">
        <v>2372.09</v>
      </c>
      <c r="I14" s="84">
        <f t="shared" si="1"/>
        <v>0.43099999999999999</v>
      </c>
      <c r="J14" s="35">
        <v>24881</v>
      </c>
      <c r="K14" s="35">
        <v>2871.94</v>
      </c>
      <c r="L14" s="35">
        <v>2074.38</v>
      </c>
      <c r="M14" s="35">
        <v>3667.91</v>
      </c>
      <c r="N14" s="35">
        <v>1593.53</v>
      </c>
      <c r="O14" s="84">
        <f t="shared" si="2"/>
        <v>0.434</v>
      </c>
      <c r="P14" s="35">
        <v>109440</v>
      </c>
      <c r="Q14" s="35">
        <v>24867.73</v>
      </c>
      <c r="R14" s="35">
        <v>1835.29</v>
      </c>
      <c r="S14" s="35">
        <v>2658.5</v>
      </c>
      <c r="T14" s="35">
        <v>4539.1499999999996</v>
      </c>
      <c r="U14" s="35">
        <v>1880.65</v>
      </c>
      <c r="V14" s="84">
        <f t="shared" si="3"/>
        <v>0.41399999999999998</v>
      </c>
    </row>
    <row r="15" spans="1:22" x14ac:dyDescent="0.25">
      <c r="A15" s="24" t="s">
        <v>38</v>
      </c>
      <c r="B15" s="25" t="s">
        <v>73</v>
      </c>
      <c r="C15" s="72">
        <f t="shared" si="0"/>
        <v>111.03272908974822</v>
      </c>
      <c r="D15" s="35">
        <v>39997.32</v>
      </c>
      <c r="E15" s="35">
        <v>218.19</v>
      </c>
      <c r="F15" s="35">
        <v>360.23</v>
      </c>
      <c r="G15" s="35">
        <v>647.14</v>
      </c>
      <c r="H15" s="35">
        <v>286.91000000000003</v>
      </c>
      <c r="I15" s="84">
        <f t="shared" si="1"/>
        <v>0.443</v>
      </c>
      <c r="J15" s="35">
        <v>22337.47</v>
      </c>
      <c r="K15" s="35">
        <v>-88.06</v>
      </c>
      <c r="L15" s="35">
        <v>240.03</v>
      </c>
      <c r="M15" s="35">
        <v>382.81</v>
      </c>
      <c r="N15" s="35">
        <v>142.78</v>
      </c>
      <c r="O15" s="84">
        <f t="shared" si="2"/>
        <v>0.373</v>
      </c>
      <c r="P15" s="35">
        <v>11788</v>
      </c>
      <c r="Q15" s="35">
        <v>5687.87</v>
      </c>
      <c r="R15" s="35">
        <v>278.25</v>
      </c>
      <c r="S15" s="35">
        <v>107.01</v>
      </c>
      <c r="T15" s="35">
        <v>182.72</v>
      </c>
      <c r="U15" s="35">
        <v>75.709999999999994</v>
      </c>
      <c r="V15" s="84">
        <f t="shared" si="3"/>
        <v>0.41399999999999998</v>
      </c>
    </row>
    <row r="16" spans="1:22" x14ac:dyDescent="0.25">
      <c r="A16" s="24" t="s">
        <v>39</v>
      </c>
      <c r="B16" s="25" t="s">
        <v>73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-82.5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36</v>
      </c>
      <c r="B17" s="27" t="s">
        <v>74</v>
      </c>
      <c r="C17" s="73">
        <f t="shared" si="0"/>
        <v>23.611757964423742</v>
      </c>
      <c r="D17" s="36">
        <v>38733.199999999997</v>
      </c>
      <c r="E17" s="36">
        <v>1050.23</v>
      </c>
      <c r="F17" s="36">
        <v>1640.42</v>
      </c>
      <c r="G17" s="36">
        <v>3060.6</v>
      </c>
      <c r="H17" s="36">
        <v>1420.18</v>
      </c>
      <c r="I17" s="85">
        <f t="shared" si="1"/>
        <v>0.46400000000000002</v>
      </c>
      <c r="J17" s="36">
        <v>29964.7</v>
      </c>
      <c r="K17" s="36">
        <v>534.95000000000005</v>
      </c>
      <c r="L17" s="36">
        <v>897.85</v>
      </c>
      <c r="M17" s="36">
        <v>1682.47</v>
      </c>
      <c r="N17" s="36">
        <v>784.62</v>
      </c>
      <c r="O17" s="85">
        <f t="shared" si="2"/>
        <v>0.46600000000000003</v>
      </c>
      <c r="P17" s="36">
        <v>62836</v>
      </c>
      <c r="Q17" s="36">
        <v>16430.349999999999</v>
      </c>
      <c r="R17" s="36">
        <v>890.77</v>
      </c>
      <c r="S17" s="36">
        <v>859.34</v>
      </c>
      <c r="T17" s="36">
        <v>1732.79</v>
      </c>
      <c r="U17" s="36">
        <v>873.45</v>
      </c>
      <c r="V17" s="85">
        <f t="shared" si="3"/>
        <v>0.504</v>
      </c>
    </row>
    <row r="18" spans="1:22" x14ac:dyDescent="0.25">
      <c r="A18" s="26" t="s">
        <v>38</v>
      </c>
      <c r="B18" s="27" t="s">
        <v>74</v>
      </c>
      <c r="C18" s="73">
        <f t="shared" si="0"/>
        <v>94.64130344541303</v>
      </c>
      <c r="D18" s="36">
        <v>45598.18</v>
      </c>
      <c r="E18" s="36">
        <v>523.98</v>
      </c>
      <c r="F18" s="36">
        <v>481.8</v>
      </c>
      <c r="G18" s="36">
        <v>834.56</v>
      </c>
      <c r="H18" s="36">
        <v>352.76</v>
      </c>
      <c r="I18" s="85">
        <f t="shared" si="1"/>
        <v>0.42299999999999999</v>
      </c>
      <c r="J18" s="36">
        <v>28964.98</v>
      </c>
      <c r="K18" s="36">
        <v>-121.49</v>
      </c>
      <c r="L18" s="36">
        <v>190.7</v>
      </c>
      <c r="M18" s="36">
        <v>461.98</v>
      </c>
      <c r="N18" s="36">
        <v>271.27999999999997</v>
      </c>
      <c r="O18" s="85">
        <f t="shared" si="2"/>
        <v>0.58699999999999997</v>
      </c>
      <c r="P18" s="36">
        <v>16889</v>
      </c>
      <c r="Q18" s="36">
        <v>9799.0499999999993</v>
      </c>
      <c r="R18" s="36">
        <v>236.06</v>
      </c>
      <c r="S18" s="36">
        <v>218.52</v>
      </c>
      <c r="T18" s="36">
        <v>331.16</v>
      </c>
      <c r="U18" s="36">
        <v>112.64</v>
      </c>
      <c r="V18" s="85">
        <f t="shared" si="3"/>
        <v>0.34</v>
      </c>
    </row>
    <row r="19" spans="1:22" x14ac:dyDescent="0.25">
      <c r="A19" s="26" t="s">
        <v>39</v>
      </c>
      <c r="B19" s="27" t="s">
        <v>74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688.18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36</v>
      </c>
      <c r="B20" s="29" t="s">
        <v>75</v>
      </c>
      <c r="C20" s="74">
        <f t="shared" si="0"/>
        <v>3.9347496692622141</v>
      </c>
      <c r="D20" s="37">
        <v>8595.5</v>
      </c>
      <c r="E20" s="37">
        <v>1269.99</v>
      </c>
      <c r="F20" s="37">
        <v>2184.5100000000002</v>
      </c>
      <c r="G20" s="37">
        <v>3591.35</v>
      </c>
      <c r="H20" s="37">
        <v>1406.84</v>
      </c>
      <c r="I20" s="86">
        <f t="shared" si="1"/>
        <v>0.39200000000000002</v>
      </c>
      <c r="J20" s="37">
        <v>6259.26</v>
      </c>
      <c r="K20" s="37">
        <v>922.12</v>
      </c>
      <c r="L20" s="37">
        <v>917.51</v>
      </c>
      <c r="M20" s="37">
        <v>1641.16</v>
      </c>
      <c r="N20" s="37">
        <v>723.65</v>
      </c>
      <c r="O20" s="86">
        <f t="shared" si="2"/>
        <v>0.441</v>
      </c>
      <c r="P20" s="37">
        <v>28214</v>
      </c>
      <c r="Q20" s="37">
        <v>5650.27</v>
      </c>
      <c r="R20" s="37">
        <v>401.55</v>
      </c>
      <c r="S20" s="37">
        <v>805.04</v>
      </c>
      <c r="T20" s="37">
        <v>1439.83</v>
      </c>
      <c r="U20" s="37">
        <v>634.79</v>
      </c>
      <c r="V20" s="86">
        <f t="shared" si="3"/>
        <v>0.441</v>
      </c>
    </row>
    <row r="21" spans="1:22" x14ac:dyDescent="0.25">
      <c r="A21" s="28" t="s">
        <v>38</v>
      </c>
      <c r="B21" s="29" t="s">
        <v>75</v>
      </c>
      <c r="C21" s="74">
        <f t="shared" si="0"/>
        <v>46.236273599504798</v>
      </c>
      <c r="D21" s="37">
        <v>7469.47</v>
      </c>
      <c r="E21" s="37">
        <v>398.06</v>
      </c>
      <c r="F21" s="37">
        <v>161.55000000000001</v>
      </c>
      <c r="G21" s="37">
        <v>281.77999999999997</v>
      </c>
      <c r="H21" s="37">
        <v>120.23</v>
      </c>
      <c r="I21" s="86">
        <f t="shared" si="1"/>
        <v>0.42699999999999999</v>
      </c>
      <c r="J21" s="37">
        <v>3605.44</v>
      </c>
      <c r="K21" s="37">
        <v>76.47</v>
      </c>
      <c r="L21" s="37">
        <v>160.4</v>
      </c>
      <c r="M21" s="37">
        <v>274.20999999999998</v>
      </c>
      <c r="N21" s="37">
        <v>113.81</v>
      </c>
      <c r="O21" s="86">
        <f t="shared" si="2"/>
        <v>0.41499999999999998</v>
      </c>
      <c r="P21" s="37">
        <v>5349</v>
      </c>
      <c r="Q21" s="37">
        <v>1604.08</v>
      </c>
      <c r="R21" s="37">
        <v>176.09</v>
      </c>
      <c r="S21" s="37">
        <v>65.510000000000005</v>
      </c>
      <c r="T21" s="37">
        <v>81.760000000000005</v>
      </c>
      <c r="U21" s="37">
        <v>16.25</v>
      </c>
      <c r="V21" s="86">
        <f t="shared" si="3"/>
        <v>0.19900000000000001</v>
      </c>
    </row>
    <row r="22" spans="1:22" x14ac:dyDescent="0.25">
      <c r="A22" s="28" t="s">
        <v>39</v>
      </c>
      <c r="B22" s="29" t="s">
        <v>75</v>
      </c>
      <c r="C22" s="74">
        <f t="shared" si="0"/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41" t="s">
        <v>36</v>
      </c>
      <c r="B23" s="42" t="s">
        <v>76</v>
      </c>
      <c r="C23" s="68">
        <f t="shared" si="0"/>
        <v>6.1826618946032204</v>
      </c>
      <c r="D23" s="79">
        <v>17533.72</v>
      </c>
      <c r="E23" s="79">
        <v>1442.07</v>
      </c>
      <c r="F23" s="79">
        <v>2835.95</v>
      </c>
      <c r="G23" s="79">
        <v>4512.07</v>
      </c>
      <c r="H23" s="79">
        <v>1676.12</v>
      </c>
      <c r="I23" s="80">
        <f t="shared" si="1"/>
        <v>0.371</v>
      </c>
      <c r="J23" s="79">
        <v>16021.45</v>
      </c>
      <c r="K23" s="79">
        <v>1607.89</v>
      </c>
      <c r="L23" s="79">
        <v>1909.18</v>
      </c>
      <c r="M23" s="79">
        <v>3088.77</v>
      </c>
      <c r="N23" s="79">
        <v>1179.5899999999999</v>
      </c>
      <c r="O23" s="80">
        <f t="shared" si="2"/>
        <v>0.38200000000000001</v>
      </c>
      <c r="P23" s="79">
        <v>104110</v>
      </c>
      <c r="Q23" s="79">
        <v>12314.31</v>
      </c>
      <c r="R23" s="79">
        <v>1695.53</v>
      </c>
      <c r="S23" s="79">
        <v>1841.55</v>
      </c>
      <c r="T23" s="79">
        <v>3004.45</v>
      </c>
      <c r="U23" s="79">
        <v>1162.9000000000001</v>
      </c>
      <c r="V23" s="80">
        <f t="shared" si="3"/>
        <v>0.38700000000000001</v>
      </c>
    </row>
    <row r="24" spans="1:22" x14ac:dyDescent="0.25">
      <c r="A24" s="41" t="s">
        <v>38</v>
      </c>
      <c r="B24" s="42" t="s">
        <v>76</v>
      </c>
      <c r="C24" s="68">
        <f t="shared" si="0"/>
        <v>18.29303051460019</v>
      </c>
      <c r="D24" s="79">
        <v>4454.17</v>
      </c>
      <c r="E24" s="79">
        <v>143.22</v>
      </c>
      <c r="F24" s="79">
        <v>243.49</v>
      </c>
      <c r="G24" s="79">
        <v>341.81</v>
      </c>
      <c r="H24" s="79">
        <v>98.32</v>
      </c>
      <c r="I24" s="80">
        <f t="shared" si="1"/>
        <v>0.28799999999999998</v>
      </c>
      <c r="J24" s="79">
        <v>7347.46</v>
      </c>
      <c r="K24" s="79">
        <v>61.83</v>
      </c>
      <c r="L24" s="79">
        <v>119.25</v>
      </c>
      <c r="M24" s="79">
        <v>187.87</v>
      </c>
      <c r="N24" s="79">
        <v>68.62</v>
      </c>
      <c r="O24" s="80">
        <f t="shared" si="2"/>
        <v>0.36499999999999999</v>
      </c>
      <c r="P24" s="79">
        <v>4560</v>
      </c>
      <c r="Q24" s="79">
        <v>1109.1400000000001</v>
      </c>
      <c r="R24" s="79">
        <v>4.3600000000000003</v>
      </c>
      <c r="S24" s="79">
        <v>39.78</v>
      </c>
      <c r="T24" s="79">
        <v>166.53</v>
      </c>
      <c r="U24" s="79">
        <v>126.75</v>
      </c>
      <c r="V24" s="80">
        <f t="shared" si="3"/>
        <v>0.76100000000000001</v>
      </c>
    </row>
    <row r="25" spans="1:22" x14ac:dyDescent="0.25">
      <c r="A25" s="41" t="s">
        <v>39</v>
      </c>
      <c r="B25" s="42" t="s">
        <v>76</v>
      </c>
      <c r="C25" s="68" t="e">
        <f t="shared" si="0"/>
        <v>#DIV/0!</v>
      </c>
      <c r="D25" s="79">
        <v>139.76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82.13</v>
      </c>
      <c r="K25" s="79">
        <v>2.11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141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36</v>
      </c>
      <c r="B26" s="19" t="s">
        <v>77</v>
      </c>
      <c r="C26" s="69">
        <f t="shared" si="0"/>
        <v>2.1649042807147656</v>
      </c>
      <c r="D26" s="32">
        <v>7472.73</v>
      </c>
      <c r="E26" s="32">
        <v>2455.86</v>
      </c>
      <c r="F26" s="32">
        <v>3451.76</v>
      </c>
      <c r="G26" s="32">
        <v>5669.09</v>
      </c>
      <c r="H26" s="32">
        <v>2217.33</v>
      </c>
      <c r="I26" s="81">
        <f t="shared" si="1"/>
        <v>0.39100000000000001</v>
      </c>
      <c r="J26" s="32">
        <v>7582.79</v>
      </c>
      <c r="K26" s="32">
        <v>584.6</v>
      </c>
      <c r="L26" s="32">
        <v>1694.99</v>
      </c>
      <c r="M26" s="32">
        <v>2808.46</v>
      </c>
      <c r="N26" s="32">
        <v>1113.47</v>
      </c>
      <c r="O26" s="81">
        <f t="shared" si="2"/>
        <v>0.39600000000000002</v>
      </c>
      <c r="P26" s="32">
        <v>49894</v>
      </c>
      <c r="Q26" s="32">
        <v>5685.78</v>
      </c>
      <c r="R26" s="32">
        <v>1058.3800000000001</v>
      </c>
      <c r="S26" s="32">
        <v>1032.3900000000001</v>
      </c>
      <c r="T26" s="32">
        <v>1814.38</v>
      </c>
      <c r="U26" s="32">
        <v>781.99</v>
      </c>
      <c r="V26" s="81">
        <f t="shared" si="3"/>
        <v>0.43099999999999999</v>
      </c>
    </row>
    <row r="27" spans="1:22" x14ac:dyDescent="0.25">
      <c r="A27" s="18" t="s">
        <v>38</v>
      </c>
      <c r="B27" s="19" t="s">
        <v>77</v>
      </c>
      <c r="C27" s="69">
        <f t="shared" si="0"/>
        <v>7.3504121897672254</v>
      </c>
      <c r="D27" s="32">
        <v>5055.54</v>
      </c>
      <c r="E27" s="32">
        <v>-13.31</v>
      </c>
      <c r="F27" s="32">
        <v>687.79</v>
      </c>
      <c r="G27" s="32">
        <v>944.7</v>
      </c>
      <c r="H27" s="32">
        <v>256.91000000000003</v>
      </c>
      <c r="I27" s="81">
        <f t="shared" si="1"/>
        <v>0.27200000000000002</v>
      </c>
      <c r="J27" s="32">
        <v>5672.63</v>
      </c>
      <c r="K27" s="32">
        <v>387.92</v>
      </c>
      <c r="L27" s="32">
        <v>393.24</v>
      </c>
      <c r="M27" s="32">
        <v>655.89</v>
      </c>
      <c r="N27" s="32">
        <v>262.64999999999998</v>
      </c>
      <c r="O27" s="81">
        <f t="shared" si="2"/>
        <v>0.4</v>
      </c>
      <c r="P27" s="32">
        <v>4307</v>
      </c>
      <c r="Q27" s="32">
        <v>1089.5899999999999</v>
      </c>
      <c r="R27" s="32">
        <v>102.57</v>
      </c>
      <c r="S27" s="32">
        <v>63.75</v>
      </c>
      <c r="T27" s="32">
        <v>97.22</v>
      </c>
      <c r="U27" s="32">
        <v>33.47</v>
      </c>
      <c r="V27" s="81">
        <f t="shared" si="3"/>
        <v>0.34399999999999997</v>
      </c>
    </row>
    <row r="28" spans="1:22" x14ac:dyDescent="0.25">
      <c r="A28" s="18" t="s">
        <v>39</v>
      </c>
      <c r="B28" s="19" t="s">
        <v>77</v>
      </c>
      <c r="C28" s="69" t="e">
        <f t="shared" si="0"/>
        <v>#DIV/0!</v>
      </c>
      <c r="D28" s="32">
        <v>58.93</v>
      </c>
      <c r="E28" s="32">
        <v>0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128.46</v>
      </c>
      <c r="K28" s="32">
        <v>0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113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x14ac:dyDescent="0.25">
      <c r="A29" s="20" t="s">
        <v>36</v>
      </c>
      <c r="B29" s="21" t="s">
        <v>78</v>
      </c>
      <c r="C29" s="70">
        <f t="shared" si="0"/>
        <v>3.696047855207321</v>
      </c>
      <c r="D29" s="33">
        <v>1445.82</v>
      </c>
      <c r="E29" s="33">
        <v>273.32</v>
      </c>
      <c r="F29" s="33">
        <v>391.18</v>
      </c>
      <c r="G29" s="33">
        <v>714.3</v>
      </c>
      <c r="H29" s="33">
        <v>323.12</v>
      </c>
      <c r="I29" s="82">
        <f t="shared" si="1"/>
        <v>0.45200000000000001</v>
      </c>
      <c r="J29" s="33">
        <v>1287.8499999999999</v>
      </c>
      <c r="K29" s="33">
        <v>145.9</v>
      </c>
      <c r="L29" s="33">
        <v>223.27</v>
      </c>
      <c r="M29" s="33">
        <v>403.2</v>
      </c>
      <c r="N29" s="33">
        <v>179.93</v>
      </c>
      <c r="O29" s="82">
        <f t="shared" si="2"/>
        <v>0.44600000000000001</v>
      </c>
      <c r="P29" s="33">
        <v>6317</v>
      </c>
      <c r="Q29" s="33">
        <v>427.9</v>
      </c>
      <c r="R29" s="33">
        <v>4.01</v>
      </c>
      <c r="S29" s="33">
        <v>6.61</v>
      </c>
      <c r="T29" s="33">
        <v>16.350000000000001</v>
      </c>
      <c r="U29" s="33">
        <v>9.74</v>
      </c>
      <c r="V29" s="82">
        <f t="shared" si="3"/>
        <v>0.59599999999999997</v>
      </c>
    </row>
    <row r="30" spans="1:22" x14ac:dyDescent="0.25">
      <c r="A30" s="20" t="s">
        <v>38</v>
      </c>
      <c r="B30" s="21" t="s">
        <v>78</v>
      </c>
      <c r="C30" s="70">
        <f t="shared" si="0"/>
        <v>31.881061299176576</v>
      </c>
      <c r="D30" s="33">
        <v>696.92</v>
      </c>
      <c r="E30" s="33">
        <v>16.12</v>
      </c>
      <c r="F30" s="33">
        <v>21.86</v>
      </c>
      <c r="G30" s="33">
        <v>40.369999999999997</v>
      </c>
      <c r="H30" s="33">
        <v>18.510000000000002</v>
      </c>
      <c r="I30" s="82">
        <f t="shared" si="1"/>
        <v>0.45900000000000002</v>
      </c>
      <c r="J30" s="33">
        <v>966.97</v>
      </c>
      <c r="K30" s="33">
        <v>49.47</v>
      </c>
      <c r="L30" s="33">
        <v>54.34</v>
      </c>
      <c r="M30" s="33">
        <v>85.2</v>
      </c>
      <c r="N30" s="33">
        <v>30.86</v>
      </c>
      <c r="O30" s="82">
        <f t="shared" si="2"/>
        <v>0.36199999999999999</v>
      </c>
      <c r="P30" s="33">
        <v>576</v>
      </c>
      <c r="Q30" s="33">
        <v>42.51</v>
      </c>
      <c r="R30" s="33">
        <v>0</v>
      </c>
      <c r="S30" s="33">
        <v>0</v>
      </c>
      <c r="T30" s="33">
        <v>0</v>
      </c>
      <c r="U30" s="33">
        <v>0</v>
      </c>
      <c r="V30" s="82">
        <f t="shared" si="3"/>
        <v>0</v>
      </c>
    </row>
    <row r="31" spans="1:22" x14ac:dyDescent="0.25">
      <c r="A31" s="20" t="s">
        <v>39</v>
      </c>
      <c r="B31" s="21" t="s">
        <v>78</v>
      </c>
      <c r="C31" s="70">
        <f t="shared" si="0"/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82">
        <f t="shared" si="1"/>
        <v>0</v>
      </c>
      <c r="J31" s="33">
        <v>93.98</v>
      </c>
      <c r="K31" s="33">
        <v>0</v>
      </c>
      <c r="L31" s="33">
        <v>0</v>
      </c>
      <c r="M31" s="33">
        <v>0</v>
      </c>
      <c r="N31" s="33">
        <v>0</v>
      </c>
      <c r="O31" s="82">
        <f t="shared" si="2"/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82">
        <f t="shared" si="3"/>
        <v>0</v>
      </c>
    </row>
    <row r="32" spans="1:22" x14ac:dyDescent="0.25">
      <c r="A32" s="22" t="s">
        <v>36</v>
      </c>
      <c r="B32" s="23" t="s">
        <v>79</v>
      </c>
      <c r="C32" s="71">
        <f t="shared" si="0"/>
        <v>1.33764832793959E-2</v>
      </c>
      <c r="D32" s="34">
        <v>1.86</v>
      </c>
      <c r="E32" s="34">
        <v>1917.94</v>
      </c>
      <c r="F32" s="34">
        <v>139.05000000000001</v>
      </c>
      <c r="G32" s="34">
        <v>139.05000000000001</v>
      </c>
      <c r="H32" s="34">
        <v>0</v>
      </c>
      <c r="I32" s="83">
        <f t="shared" si="1"/>
        <v>0</v>
      </c>
      <c r="J32" s="34">
        <v>956.99</v>
      </c>
      <c r="K32" s="34">
        <v>1960.99</v>
      </c>
      <c r="L32" s="34">
        <v>115.18</v>
      </c>
      <c r="M32" s="34">
        <v>154.84</v>
      </c>
      <c r="N32" s="34">
        <v>39.659999999999997</v>
      </c>
      <c r="O32" s="83">
        <f t="shared" si="2"/>
        <v>0.25600000000000001</v>
      </c>
      <c r="P32" s="34">
        <v>2079</v>
      </c>
      <c r="Q32" s="34">
        <v>282.58</v>
      </c>
      <c r="R32" s="34">
        <v>1952.97</v>
      </c>
      <c r="S32" s="34">
        <v>109.94</v>
      </c>
      <c r="T32" s="34">
        <v>156.78</v>
      </c>
      <c r="U32" s="34">
        <v>46.84</v>
      </c>
      <c r="V32" s="83">
        <f t="shared" si="3"/>
        <v>0.29899999999999999</v>
      </c>
    </row>
    <row r="33" spans="1:22" x14ac:dyDescent="0.25">
      <c r="A33" s="22" t="s">
        <v>38</v>
      </c>
      <c r="B33" s="23" t="s">
        <v>79</v>
      </c>
      <c r="C33" s="71">
        <f t="shared" si="0"/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83">
        <f t="shared" si="1"/>
        <v>0</v>
      </c>
      <c r="J33" s="34">
        <v>4738.96</v>
      </c>
      <c r="K33" s="34">
        <v>431.72</v>
      </c>
      <c r="L33" s="34">
        <v>67.400000000000006</v>
      </c>
      <c r="M33" s="34">
        <v>67.400000000000006</v>
      </c>
      <c r="N33" s="34">
        <v>0</v>
      </c>
      <c r="O33" s="83">
        <f t="shared" si="2"/>
        <v>0</v>
      </c>
      <c r="P33" s="34">
        <v>1236</v>
      </c>
      <c r="Q33" s="34">
        <v>148.56</v>
      </c>
      <c r="R33" s="34">
        <v>0</v>
      </c>
      <c r="S33" s="34">
        <v>0</v>
      </c>
      <c r="T33" s="34">
        <v>0</v>
      </c>
      <c r="U33" s="34">
        <v>0</v>
      </c>
      <c r="V33" s="83">
        <f t="shared" si="3"/>
        <v>0</v>
      </c>
    </row>
    <row r="34" spans="1:22" x14ac:dyDescent="0.25">
      <c r="A34" s="22" t="s">
        <v>39</v>
      </c>
      <c r="B34" s="23" t="s">
        <v>79</v>
      </c>
      <c r="C34" s="71">
        <f t="shared" si="0"/>
        <v>0</v>
      </c>
      <c r="D34" s="34">
        <v>0</v>
      </c>
      <c r="E34" s="34">
        <v>585.97</v>
      </c>
      <c r="F34" s="34">
        <v>0</v>
      </c>
      <c r="G34" s="34">
        <v>0</v>
      </c>
      <c r="H34" s="34">
        <v>0</v>
      </c>
      <c r="I34" s="83">
        <f t="shared" si="1"/>
        <v>0</v>
      </c>
      <c r="J34" s="34">
        <v>0.35</v>
      </c>
      <c r="K34" s="34">
        <v>459.68</v>
      </c>
      <c r="L34" s="34">
        <v>0</v>
      </c>
      <c r="M34" s="34">
        <v>0</v>
      </c>
      <c r="N34" s="34">
        <v>0</v>
      </c>
      <c r="O34" s="83">
        <f t="shared" si="2"/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83">
        <f t="shared" si="3"/>
        <v>0</v>
      </c>
    </row>
    <row r="35" spans="1:22" x14ac:dyDescent="0.25">
      <c r="A35" s="24" t="s">
        <v>36</v>
      </c>
      <c r="B35" s="25" t="s">
        <v>80</v>
      </c>
      <c r="C35" s="68">
        <f t="shared" si="0"/>
        <v>7.0014285714285709</v>
      </c>
      <c r="D35" s="79">
        <v>3136.64</v>
      </c>
      <c r="E35" s="79">
        <v>802.3</v>
      </c>
      <c r="F35" s="79">
        <v>448</v>
      </c>
      <c r="G35" s="79">
        <v>747.29</v>
      </c>
      <c r="H35" s="79">
        <v>299.29000000000002</v>
      </c>
      <c r="I35" s="80">
        <f t="shared" si="1"/>
        <v>0.40100000000000002</v>
      </c>
      <c r="J35" s="79">
        <v>6227.17</v>
      </c>
      <c r="K35" s="79">
        <v>829.34</v>
      </c>
      <c r="L35" s="79">
        <v>512.36</v>
      </c>
      <c r="M35" s="79">
        <v>831.61</v>
      </c>
      <c r="N35" s="79">
        <v>319.25</v>
      </c>
      <c r="O35" s="80">
        <f t="shared" si="2"/>
        <v>0.38400000000000001</v>
      </c>
      <c r="P35" s="79">
        <v>13402</v>
      </c>
      <c r="Q35" s="79">
        <v>8367.4599999999991</v>
      </c>
      <c r="R35" s="79">
        <v>373.78</v>
      </c>
      <c r="S35" s="79">
        <v>488.22</v>
      </c>
      <c r="T35" s="79">
        <v>630.47</v>
      </c>
      <c r="U35" s="79">
        <v>142.25</v>
      </c>
      <c r="V35" s="80">
        <f t="shared" si="3"/>
        <v>0.22600000000000001</v>
      </c>
    </row>
    <row r="36" spans="1:22" x14ac:dyDescent="0.25">
      <c r="A36" s="24" t="s">
        <v>38</v>
      </c>
      <c r="B36" s="25" t="s">
        <v>80</v>
      </c>
      <c r="C36" s="68">
        <f t="shared" si="0"/>
        <v>16.358006741127486</v>
      </c>
      <c r="D36" s="79">
        <v>2475.13</v>
      </c>
      <c r="E36" s="79">
        <v>159.9</v>
      </c>
      <c r="F36" s="79">
        <v>151.31</v>
      </c>
      <c r="G36" s="79">
        <v>251.12</v>
      </c>
      <c r="H36" s="79">
        <v>99.81</v>
      </c>
      <c r="I36" s="80">
        <f t="shared" si="1"/>
        <v>0.39700000000000002</v>
      </c>
      <c r="J36" s="79">
        <v>2268.63</v>
      </c>
      <c r="K36" s="79">
        <v>461.69</v>
      </c>
      <c r="L36" s="79">
        <v>323.75</v>
      </c>
      <c r="M36" s="79">
        <v>529.71</v>
      </c>
      <c r="N36" s="79">
        <v>205.96</v>
      </c>
      <c r="O36" s="80">
        <f t="shared" si="2"/>
        <v>0.38900000000000001</v>
      </c>
      <c r="P36" s="79">
        <v>5486</v>
      </c>
      <c r="Q36" s="79">
        <v>1503.38</v>
      </c>
      <c r="R36" s="79">
        <v>3.82</v>
      </c>
      <c r="S36" s="79">
        <v>108.88</v>
      </c>
      <c r="T36" s="79">
        <v>194.25</v>
      </c>
      <c r="U36" s="79">
        <v>85.37</v>
      </c>
      <c r="V36" s="80">
        <f t="shared" si="3"/>
        <v>0.439</v>
      </c>
    </row>
    <row r="37" spans="1:22" x14ac:dyDescent="0.25">
      <c r="A37" s="24" t="s">
        <v>39</v>
      </c>
      <c r="B37" s="25" t="s">
        <v>80</v>
      </c>
      <c r="C37" s="68">
        <f t="shared" si="0"/>
        <v>0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80">
        <f t="shared" si="1"/>
        <v>0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80">
        <f t="shared" si="2"/>
        <v>0</v>
      </c>
      <c r="P37" s="79">
        <v>0</v>
      </c>
      <c r="Q37" s="79">
        <v>0</v>
      </c>
      <c r="R37" s="79">
        <v>0</v>
      </c>
      <c r="S37" s="79">
        <v>0</v>
      </c>
      <c r="T37" s="79">
        <v>0</v>
      </c>
      <c r="U37" s="79">
        <v>0</v>
      </c>
      <c r="V37" s="80">
        <f t="shared" si="3"/>
        <v>0</v>
      </c>
    </row>
    <row r="38" spans="1:22" x14ac:dyDescent="0.25">
      <c r="A38" s="26" t="s">
        <v>36</v>
      </c>
      <c r="B38" s="27" t="s">
        <v>81</v>
      </c>
      <c r="C38" s="73">
        <f t="shared" si="0"/>
        <v>4.4451144516569867</v>
      </c>
      <c r="D38" s="36">
        <v>10408.68</v>
      </c>
      <c r="E38" s="36">
        <v>988.13</v>
      </c>
      <c r="F38" s="36">
        <v>2341.6</v>
      </c>
      <c r="G38" s="36">
        <v>3221.78</v>
      </c>
      <c r="H38" s="36">
        <v>880.18</v>
      </c>
      <c r="I38" s="85">
        <f t="shared" si="1"/>
        <v>0.27300000000000002</v>
      </c>
      <c r="J38" s="36">
        <v>8657.49</v>
      </c>
      <c r="K38" s="36">
        <v>1085.07</v>
      </c>
      <c r="L38" s="36">
        <v>2022.66</v>
      </c>
      <c r="M38" s="36">
        <v>2905.75</v>
      </c>
      <c r="N38" s="36">
        <v>883.09</v>
      </c>
      <c r="O38" s="85">
        <f t="shared" si="2"/>
        <v>0.30399999999999999</v>
      </c>
      <c r="P38" s="36">
        <v>56756</v>
      </c>
      <c r="Q38" s="36">
        <v>13035.29</v>
      </c>
      <c r="R38" s="36">
        <v>1460.4</v>
      </c>
      <c r="S38" s="36">
        <v>1594.72</v>
      </c>
      <c r="T38" s="36">
        <v>2174.7800000000002</v>
      </c>
      <c r="U38" s="36">
        <v>580.05999999999995</v>
      </c>
      <c r="V38" s="85">
        <f t="shared" si="3"/>
        <v>0.26700000000000002</v>
      </c>
    </row>
    <row r="39" spans="1:22" x14ac:dyDescent="0.25">
      <c r="A39" s="26" t="s">
        <v>38</v>
      </c>
      <c r="B39" s="27" t="s">
        <v>81</v>
      </c>
      <c r="C39" s="73">
        <f t="shared" si="0"/>
        <v>4.9027907714263064</v>
      </c>
      <c r="D39" s="36">
        <v>6183.89</v>
      </c>
      <c r="E39" s="36">
        <v>1838.25</v>
      </c>
      <c r="F39" s="36">
        <v>1261.3</v>
      </c>
      <c r="G39" s="36">
        <v>1817.77</v>
      </c>
      <c r="H39" s="36">
        <v>556.47</v>
      </c>
      <c r="I39" s="85">
        <f t="shared" si="1"/>
        <v>0.30599999999999999</v>
      </c>
      <c r="J39" s="36">
        <v>9036.18</v>
      </c>
      <c r="K39" s="36">
        <v>2077.5500000000002</v>
      </c>
      <c r="L39" s="36">
        <v>561.46</v>
      </c>
      <c r="M39" s="36">
        <v>776.84</v>
      </c>
      <c r="N39" s="36">
        <v>215.38</v>
      </c>
      <c r="O39" s="85">
        <f t="shared" si="2"/>
        <v>0.27700000000000002</v>
      </c>
      <c r="P39" s="36">
        <v>26869</v>
      </c>
      <c r="Q39" s="36">
        <v>9828.82</v>
      </c>
      <c r="R39" s="36">
        <v>1494.8</v>
      </c>
      <c r="S39" s="36">
        <v>2122.86</v>
      </c>
      <c r="T39" s="36">
        <v>3047.93</v>
      </c>
      <c r="U39" s="36">
        <v>925.07</v>
      </c>
      <c r="V39" s="85">
        <f t="shared" si="3"/>
        <v>0.30399999999999999</v>
      </c>
    </row>
    <row r="40" spans="1:22" x14ac:dyDescent="0.25">
      <c r="A40" s="26" t="s">
        <v>39</v>
      </c>
      <c r="B40" s="27" t="s">
        <v>81</v>
      </c>
      <c r="C40" s="73">
        <f t="shared" si="0"/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85">
        <f t="shared" si="1"/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85">
        <f t="shared" si="2"/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85">
        <f t="shared" si="3"/>
        <v>0</v>
      </c>
    </row>
    <row r="41" spans="1:22" x14ac:dyDescent="0.25">
      <c r="A41" s="28" t="s">
        <v>36</v>
      </c>
      <c r="B41" s="29" t="s">
        <v>82</v>
      </c>
      <c r="C41" s="74">
        <f t="shared" si="0"/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86">
        <f t="shared" si="1"/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86">
        <f t="shared" si="2"/>
        <v>0</v>
      </c>
      <c r="P41" s="37">
        <v>0</v>
      </c>
      <c r="Q41" s="37">
        <v>0</v>
      </c>
      <c r="R41" s="37">
        <v>0</v>
      </c>
      <c r="S41" s="37">
        <v>0</v>
      </c>
      <c r="T41" s="37">
        <v>0</v>
      </c>
      <c r="U41" s="37">
        <v>0</v>
      </c>
      <c r="V41" s="86">
        <f t="shared" si="3"/>
        <v>0</v>
      </c>
    </row>
    <row r="42" spans="1:22" x14ac:dyDescent="0.25">
      <c r="A42" s="28" t="s">
        <v>38</v>
      </c>
      <c r="B42" s="29" t="s">
        <v>82</v>
      </c>
      <c r="C42" s="74">
        <f t="shared" si="0"/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86">
        <f t="shared" si="1"/>
        <v>0</v>
      </c>
      <c r="J42" s="37">
        <v>0</v>
      </c>
      <c r="K42" s="37">
        <v>0</v>
      </c>
      <c r="L42" s="37">
        <v>0</v>
      </c>
      <c r="M42" s="37">
        <v>0</v>
      </c>
      <c r="N42" s="37">
        <v>0</v>
      </c>
      <c r="O42" s="86">
        <f t="shared" si="2"/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86">
        <f t="shared" si="3"/>
        <v>0</v>
      </c>
    </row>
    <row r="43" spans="1:22" x14ac:dyDescent="0.25">
      <c r="A43" s="28" t="s">
        <v>39</v>
      </c>
      <c r="B43" s="29" t="s">
        <v>82</v>
      </c>
      <c r="C43" s="74">
        <f t="shared" si="0"/>
        <v>0</v>
      </c>
      <c r="D43" s="37">
        <v>0</v>
      </c>
      <c r="E43" s="37">
        <v>0</v>
      </c>
      <c r="F43" s="37">
        <v>0</v>
      </c>
      <c r="G43" s="37">
        <v>0</v>
      </c>
      <c r="H43" s="37">
        <v>0</v>
      </c>
      <c r="I43" s="86">
        <f t="shared" si="1"/>
        <v>0</v>
      </c>
      <c r="J43" s="37">
        <v>0</v>
      </c>
      <c r="K43" s="37">
        <v>0</v>
      </c>
      <c r="L43" s="37">
        <v>0</v>
      </c>
      <c r="M43" s="37">
        <v>0</v>
      </c>
      <c r="N43" s="37">
        <v>0</v>
      </c>
      <c r="O43" s="86">
        <f t="shared" si="2"/>
        <v>0</v>
      </c>
      <c r="P43" s="37">
        <v>0</v>
      </c>
      <c r="Q43" s="37">
        <v>0</v>
      </c>
      <c r="R43" s="37">
        <v>0</v>
      </c>
      <c r="S43" s="37">
        <v>0</v>
      </c>
      <c r="T43" s="37">
        <v>0</v>
      </c>
      <c r="U43" s="37">
        <v>0</v>
      </c>
      <c r="V43" s="86">
        <f t="shared" si="3"/>
        <v>0</v>
      </c>
    </row>
    <row r="44" spans="1:22" x14ac:dyDescent="0.25">
      <c r="A44" s="41" t="s">
        <v>36</v>
      </c>
      <c r="B44" s="42" t="s">
        <v>83</v>
      </c>
      <c r="C44" s="67">
        <f t="shared" si="0"/>
        <v>2.8385432061016838</v>
      </c>
      <c r="D44" s="31">
        <v>8355.11</v>
      </c>
      <c r="E44" s="31">
        <v>3119.5</v>
      </c>
      <c r="F44" s="31">
        <v>2943.45</v>
      </c>
      <c r="G44" s="31">
        <v>3943.16</v>
      </c>
      <c r="H44" s="31">
        <v>999.71</v>
      </c>
      <c r="I44" s="91">
        <f t="shared" si="1"/>
        <v>0.254</v>
      </c>
      <c r="J44" s="31">
        <v>71.930000000000007</v>
      </c>
      <c r="K44" s="31">
        <v>1656.91</v>
      </c>
      <c r="L44" s="31">
        <v>1785.12</v>
      </c>
      <c r="M44" s="31">
        <v>2655.52</v>
      </c>
      <c r="N44" s="31">
        <v>870.4</v>
      </c>
      <c r="O44" s="91">
        <f t="shared" si="2"/>
        <v>0.32800000000000001</v>
      </c>
      <c r="P44" s="31">
        <v>208316</v>
      </c>
      <c r="Q44" s="31">
        <v>571.36</v>
      </c>
      <c r="R44" s="31">
        <v>5480.81</v>
      </c>
      <c r="S44" s="31">
        <v>4659.3</v>
      </c>
      <c r="T44" s="31">
        <v>7100.9</v>
      </c>
      <c r="U44" s="31">
        <v>2441.6</v>
      </c>
      <c r="V44" s="91">
        <f t="shared" si="3"/>
        <v>0.34399999999999997</v>
      </c>
    </row>
    <row r="45" spans="1:22" x14ac:dyDescent="0.25">
      <c r="A45" s="41" t="s">
        <v>38</v>
      </c>
      <c r="B45" s="42" t="s">
        <v>83</v>
      </c>
      <c r="C45" s="67">
        <f t="shared" si="0"/>
        <v>0.24918281887732566</v>
      </c>
      <c r="D45" s="31">
        <v>564.12</v>
      </c>
      <c r="E45" s="31">
        <v>2351.48</v>
      </c>
      <c r="F45" s="31">
        <v>2263.88</v>
      </c>
      <c r="G45" s="31">
        <v>2780.62</v>
      </c>
      <c r="H45" s="31">
        <v>516.74</v>
      </c>
      <c r="I45" s="91">
        <f t="shared" si="1"/>
        <v>0.186</v>
      </c>
      <c r="J45" s="31">
        <v>346.14</v>
      </c>
      <c r="K45" s="31">
        <v>1838.6</v>
      </c>
      <c r="L45" s="31">
        <v>1614.36</v>
      </c>
      <c r="M45" s="31">
        <v>2364.2800000000002</v>
      </c>
      <c r="N45" s="31">
        <v>749.92</v>
      </c>
      <c r="O45" s="91">
        <f t="shared" si="2"/>
        <v>0.317</v>
      </c>
      <c r="P45" s="31">
        <v>28807</v>
      </c>
      <c r="Q45" s="31">
        <v>668.93</v>
      </c>
      <c r="R45" s="31">
        <v>3292.87</v>
      </c>
      <c r="S45" s="31">
        <v>2863.99</v>
      </c>
      <c r="T45" s="31">
        <v>3466.33</v>
      </c>
      <c r="U45" s="31">
        <v>602.34</v>
      </c>
      <c r="V45" s="91">
        <f t="shared" si="3"/>
        <v>0.17399999999999999</v>
      </c>
    </row>
    <row r="46" spans="1:22" x14ac:dyDescent="0.25">
      <c r="A46" s="41" t="s">
        <v>39</v>
      </c>
      <c r="B46" s="42" t="s">
        <v>83</v>
      </c>
      <c r="C46" s="67">
        <f t="shared" si="0"/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91">
        <f t="shared" si="1"/>
        <v>0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91">
        <f t="shared" si="2"/>
        <v>0</v>
      </c>
      <c r="P46" s="31">
        <v>0</v>
      </c>
      <c r="Q46" s="31">
        <v>0</v>
      </c>
      <c r="R46" s="31">
        <v>0</v>
      </c>
      <c r="S46" s="31">
        <v>0</v>
      </c>
      <c r="T46" s="31">
        <v>0</v>
      </c>
      <c r="U46" s="31">
        <v>0</v>
      </c>
      <c r="V46" s="91">
        <f t="shared" si="3"/>
        <v>0</v>
      </c>
    </row>
    <row r="47" spans="1:22" x14ac:dyDescent="0.25">
      <c r="A47" s="18" t="s">
        <v>36</v>
      </c>
      <c r="B47" s="19" t="s">
        <v>84</v>
      </c>
      <c r="C47" s="69">
        <f t="shared" si="0"/>
        <v>30.299873532068652</v>
      </c>
      <c r="D47" s="32">
        <v>16770.98</v>
      </c>
      <c r="E47" s="32">
        <v>-607.79</v>
      </c>
      <c r="F47" s="32">
        <v>553.5</v>
      </c>
      <c r="G47" s="32">
        <v>510.34</v>
      </c>
      <c r="H47" s="32">
        <v>-43.16</v>
      </c>
      <c r="I47" s="81">
        <f t="shared" si="1"/>
        <v>-8.5000000000000006E-2</v>
      </c>
      <c r="J47" s="32">
        <v>14246.63</v>
      </c>
      <c r="K47" s="32">
        <v>550.70000000000005</v>
      </c>
      <c r="L47" s="32">
        <v>167.9</v>
      </c>
      <c r="M47" s="32">
        <v>323.11</v>
      </c>
      <c r="N47" s="32">
        <v>155.21</v>
      </c>
      <c r="O47" s="81">
        <f t="shared" si="2"/>
        <v>0.48</v>
      </c>
      <c r="P47" s="32">
        <v>24636</v>
      </c>
      <c r="Q47" s="32">
        <v>16513.61</v>
      </c>
      <c r="R47" s="32">
        <v>731.47</v>
      </c>
      <c r="S47" s="32">
        <v>938.82</v>
      </c>
      <c r="T47" s="32">
        <v>1318.42</v>
      </c>
      <c r="U47" s="32">
        <v>379.6</v>
      </c>
      <c r="V47" s="81">
        <f t="shared" si="3"/>
        <v>0.28799999999999998</v>
      </c>
    </row>
    <row r="48" spans="1:22" x14ac:dyDescent="0.25">
      <c r="A48" s="52" t="s">
        <v>38</v>
      </c>
      <c r="B48" s="19" t="s">
        <v>84</v>
      </c>
      <c r="C48" s="69">
        <f t="shared" si="0"/>
        <v>7.4848213997264725</v>
      </c>
      <c r="D48" s="32">
        <v>6950.48</v>
      </c>
      <c r="E48" s="32">
        <v>1016.07</v>
      </c>
      <c r="F48" s="32">
        <v>928.61</v>
      </c>
      <c r="G48" s="32">
        <v>1090.49</v>
      </c>
      <c r="H48" s="32">
        <v>161.88</v>
      </c>
      <c r="I48" s="81">
        <f t="shared" si="1"/>
        <v>0.14799999999999999</v>
      </c>
      <c r="J48" s="32">
        <v>3479.05</v>
      </c>
      <c r="K48" s="32">
        <v>4</v>
      </c>
      <c r="L48" s="32">
        <v>18.16</v>
      </c>
      <c r="M48" s="32">
        <v>54.96</v>
      </c>
      <c r="N48" s="32">
        <v>36.799999999999997</v>
      </c>
      <c r="O48" s="81">
        <f t="shared" si="2"/>
        <v>0.67</v>
      </c>
      <c r="P48" s="32">
        <v>4379</v>
      </c>
      <c r="Q48" s="32">
        <v>6432.31</v>
      </c>
      <c r="R48" s="32">
        <v>0</v>
      </c>
      <c r="S48" s="32">
        <v>47.15</v>
      </c>
      <c r="T48" s="32">
        <v>74.95</v>
      </c>
      <c r="U48" s="32">
        <v>27.8</v>
      </c>
      <c r="V48" s="81">
        <f t="shared" si="3"/>
        <v>0.371</v>
      </c>
    </row>
    <row r="49" spans="1:22" ht="15.75" thickBot="1" x14ac:dyDescent="0.3">
      <c r="A49" s="43" t="s">
        <v>39</v>
      </c>
      <c r="B49" s="53" t="s">
        <v>84</v>
      </c>
      <c r="C49" s="65" t="e">
        <f t="shared" si="0"/>
        <v>#DIV/0!</v>
      </c>
      <c r="D49" s="75">
        <v>149.09</v>
      </c>
      <c r="E49" s="75">
        <v>0</v>
      </c>
      <c r="F49" s="75">
        <v>0</v>
      </c>
      <c r="G49" s="75">
        <v>0</v>
      </c>
      <c r="H49" s="75">
        <v>0</v>
      </c>
      <c r="I49" s="92">
        <f t="shared" si="1"/>
        <v>0</v>
      </c>
      <c r="J49" s="75">
        <v>234.66</v>
      </c>
      <c r="K49" s="75">
        <v>30.31</v>
      </c>
      <c r="L49" s="75">
        <v>12.79</v>
      </c>
      <c r="M49" s="75">
        <v>16.48</v>
      </c>
      <c r="N49" s="75">
        <v>3.69</v>
      </c>
      <c r="O49" s="92">
        <f t="shared" si="2"/>
        <v>0.224</v>
      </c>
      <c r="P49" s="75">
        <v>118</v>
      </c>
      <c r="Q49" s="75">
        <v>0</v>
      </c>
      <c r="R49" s="75">
        <v>0</v>
      </c>
      <c r="S49" s="75">
        <v>0</v>
      </c>
      <c r="T49" s="75">
        <v>0</v>
      </c>
      <c r="U49" s="75">
        <v>0</v>
      </c>
      <c r="V49" s="92">
        <f t="shared" si="3"/>
        <v>0</v>
      </c>
    </row>
    <row r="50" spans="1:22" s="3" customFormat="1" ht="15.75" thickBot="1" x14ac:dyDescent="0.3">
      <c r="A50" s="2"/>
      <c r="B50" s="87" t="s">
        <v>49</v>
      </c>
      <c r="C50" s="89">
        <f t="shared" si="0"/>
        <v>6.352267062968493</v>
      </c>
      <c r="D50" s="6">
        <f>SUM(D2:D49)</f>
        <v>769599.07000000007</v>
      </c>
      <c r="E50" s="6">
        <f>SUM(E2:E49)</f>
        <v>97871.97000000003</v>
      </c>
      <c r="F50" s="6">
        <f>SUM(F2:F49)</f>
        <v>121153.44999999998</v>
      </c>
      <c r="G50" s="6">
        <f>SUM(G2:G49)</f>
        <v>183526.12</v>
      </c>
      <c r="H50" s="63">
        <f>SUM(H2:H49)</f>
        <v>62372.670000000013</v>
      </c>
      <c r="I50" s="90">
        <f t="shared" si="1"/>
        <v>0.34</v>
      </c>
      <c r="J50" s="63">
        <f t="shared" ref="J50:U50" si="4">SUM(J2:J49)</f>
        <v>718450.2</v>
      </c>
      <c r="K50" s="63">
        <f t="shared" si="4"/>
        <v>106518.69</v>
      </c>
      <c r="L50" s="63">
        <f t="shared" si="4"/>
        <v>95329.559999999983</v>
      </c>
      <c r="M50" s="63">
        <f t="shared" si="4"/>
        <v>155499.35999999996</v>
      </c>
      <c r="N50" s="63">
        <f t="shared" si="4"/>
        <v>60169.80000000001</v>
      </c>
      <c r="O50" s="90">
        <f t="shared" si="2"/>
        <v>0.38700000000000001</v>
      </c>
      <c r="P50" s="63">
        <f t="shared" si="4"/>
        <v>2620067</v>
      </c>
      <c r="Q50" s="63">
        <f t="shared" si="4"/>
        <v>608889.55000000005</v>
      </c>
      <c r="R50" s="63">
        <f t="shared" si="4"/>
        <v>100816.67</v>
      </c>
      <c r="S50" s="63">
        <f t="shared" si="4"/>
        <v>110684.89</v>
      </c>
      <c r="T50" s="63">
        <f t="shared" si="4"/>
        <v>183668.34000000003</v>
      </c>
      <c r="U50" s="63">
        <f t="shared" si="4"/>
        <v>72983.450000000012</v>
      </c>
      <c r="V50" s="90">
        <f t="shared" si="3"/>
        <v>0.39700000000000002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0B3F37EF31D1419D62A53981C574C6" ma:contentTypeVersion="12" ma:contentTypeDescription="Create a new document." ma:contentTypeScope="" ma:versionID="e03846ca220919476ac20d7d6819d653">
  <xsd:schema xmlns:xsd="http://www.w3.org/2001/XMLSchema" xmlns:xs="http://www.w3.org/2001/XMLSchema" xmlns:p="http://schemas.microsoft.com/office/2006/metadata/properties" xmlns:ns2="c4cbda83-3045-4fd9-bcf0-888e82136e14" xmlns:ns3="62038a5a-3fc4-40af-8260-1c5fe5fb60bd" targetNamespace="http://schemas.microsoft.com/office/2006/metadata/properties" ma:root="true" ma:fieldsID="b3e5f082d3e52ae08c19caade7954095" ns2:_="" ns3:_="">
    <xsd:import namespace="c4cbda83-3045-4fd9-bcf0-888e82136e14"/>
    <xsd:import namespace="62038a5a-3fc4-40af-8260-1c5fe5fb60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cbda83-3045-4fd9-bcf0-888e82136e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4ba8e89-6987-408d-899d-94f94b5e352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038a5a-3fc4-40af-8260-1c5fe5fb60b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66fec0-9f8e-47eb-89dd-7cf60b98d1c5}" ma:internalName="TaxCatchAll" ma:showField="CatchAllData" ma:web="62038a5a-3fc4-40af-8260-1c5fe5fb60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2038a5a-3fc4-40af-8260-1c5fe5fb60bd" xsi:nil="true"/>
    <lcf76f155ced4ddcb4097134ff3c332f xmlns="c4cbda83-3045-4fd9-bcf0-888e82136e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1B45364-66C3-40C8-9A6E-0040C1AD3C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cbda83-3045-4fd9-bcf0-888e82136e14"/>
    <ds:schemaRef ds:uri="62038a5a-3fc4-40af-8260-1c5fe5fb60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3A0757-26A7-43F4-BF2B-AB3E8EAB15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9CE76C-7D19-446B-A697-A8D525DAEF1A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62038a5a-3fc4-40af-8260-1c5fe5fb60bd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4cbda83-3045-4fd9-bcf0-888e82136e1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January 2026 - Dashboard</vt:lpstr>
      <vt:lpstr>BM -ALL- Stock</vt:lpstr>
      <vt:lpstr>L - All</vt:lpstr>
      <vt:lpstr>L - Stock</vt:lpstr>
      <vt:lpstr>L - SO</vt:lpstr>
      <vt:lpstr>M - All</vt:lpstr>
      <vt:lpstr>M - Stock</vt:lpstr>
      <vt:lpstr>M - SO</vt:lpstr>
      <vt:lpstr>HW - All</vt:lpstr>
      <vt:lpstr>HW - Stock</vt:lpstr>
      <vt:lpstr>HW - SO</vt:lpstr>
      <vt:lpstr>P - All</vt:lpstr>
      <vt:lpstr>P - Stock</vt:lpstr>
      <vt:lpstr>P - SO</vt:lpstr>
      <vt:lpstr>OL - All</vt:lpstr>
      <vt:lpstr>OL - Stock</vt:lpstr>
      <vt:lpstr>OL - SO</vt:lpstr>
      <vt:lpstr>ChartLabels</vt:lpstr>
      <vt:lpstr>'P - All'!Print_Area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tucke</dc:creator>
  <cp:keywords/>
  <dc:description/>
  <cp:lastModifiedBy>Joe Young</cp:lastModifiedBy>
  <cp:revision/>
  <cp:lastPrinted>2025-10-06T14:01:21Z</cp:lastPrinted>
  <dcterms:created xsi:type="dcterms:W3CDTF">2024-04-30T13:33:34Z</dcterms:created>
  <dcterms:modified xsi:type="dcterms:W3CDTF">2026-02-09T17:56:11Z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0x0101003B0B3F37EF31D1419D62A53981C574C6</vt:lpwstr>
  </property>
  <property fmtid="{D5CDD505-2E9C-101B-9397-08002B2CF9AE}" pid="3" name="MediaServiceImageTags">
    <vt:lpwstr/>
  </property>
</Properties>
</file>