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3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4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5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drawings/drawing6.xml" ContentType="application/vnd.openxmlformats-officedocument.drawing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drawings/drawing7.xml" ContentType="application/vnd.openxmlformats-officedocument.drawing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charts/chart80.xml" ContentType="application/vnd.openxmlformats-officedocument.drawingml.chart+xml"/>
  <Override PartName="/xl/charts/style80.xml" ContentType="application/vnd.ms-office.chartstyle+xml"/>
  <Override PartName="/xl/charts/colors80.xml" ContentType="application/vnd.ms-office.chartcolorstyle+xml"/>
  <Override PartName="/xl/charts/chart81.xml" ContentType="application/vnd.openxmlformats-officedocument.drawingml.chart+xml"/>
  <Override PartName="/xl/charts/style81.xml" ContentType="application/vnd.ms-office.chartstyle+xml"/>
  <Override PartName="/xl/charts/colors8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tucke\OneDrive\Documents\Report Stuff\Purchase Analysis\Monthly Dashboards\2025\"/>
    </mc:Choice>
  </mc:AlternateContent>
  <xr:revisionPtr revIDLastSave="0" documentId="8_{FEA67DEF-5440-4B65-9659-3E1B1C916211}" xr6:coauthVersionLast="47" xr6:coauthVersionMax="47" xr10:uidLastSave="{00000000-0000-0000-0000-000000000000}"/>
  <bookViews>
    <workbookView xWindow="-120" yWindow="-120" windowWidth="29040" windowHeight="15720" tabRatio="857" xr2:uid="{00000000-000D-0000-FFFF-FFFF00000000}"/>
  </bookViews>
  <sheets>
    <sheet name="December 2025 - Dashboard" sheetId="2" r:id="rId1"/>
    <sheet name="BM -ALL- Stock" sheetId="1" r:id="rId2"/>
    <sheet name="L - All" sheetId="3" r:id="rId3"/>
    <sheet name="L - Stock" sheetId="10" r:id="rId4"/>
    <sheet name="L - SO" sheetId="11" r:id="rId5"/>
    <sheet name="M - All" sheetId="4" r:id="rId6"/>
    <sheet name="M - Stock" sheetId="12" r:id="rId7"/>
    <sheet name="M - SO" sheetId="13" r:id="rId8"/>
    <sheet name="HW - All" sheetId="5" r:id="rId9"/>
    <sheet name="HW - Stock" sheetId="14" r:id="rId10"/>
    <sheet name="HW - SO" sheetId="15" r:id="rId11"/>
    <sheet name="P - All" sheetId="6" r:id="rId12"/>
    <sheet name="P - Stock" sheetId="16" r:id="rId13"/>
    <sheet name="P - SO" sheetId="17" r:id="rId14"/>
    <sheet name="OL - All" sheetId="7" r:id="rId15"/>
    <sheet name="OL - Stock" sheetId="18" r:id="rId16"/>
    <sheet name="OL - SO" sheetId="19" r:id="rId17"/>
  </sheets>
  <definedNames>
    <definedName name="_xlnm.Print_Area" localSheetId="11">'P - All'!$A$1:$Q$16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8" i="16" l="1"/>
  <c r="T8" i="16"/>
  <c r="S8" i="16"/>
  <c r="R8" i="16"/>
  <c r="Q8" i="16"/>
  <c r="P8" i="16"/>
  <c r="N8" i="16"/>
  <c r="M8" i="16"/>
  <c r="L8" i="16"/>
  <c r="K8" i="16"/>
  <c r="J8" i="16"/>
  <c r="H8" i="16"/>
  <c r="G8" i="16"/>
  <c r="F8" i="16"/>
  <c r="E8" i="16"/>
  <c r="D8" i="16"/>
  <c r="C5" i="16" a="1"/>
  <c r="C5" i="16" s="1"/>
  <c r="C8" i="6"/>
  <c r="C9" i="6"/>
  <c r="C10" i="6"/>
  <c r="V7" i="6"/>
  <c r="O7" i="6"/>
  <c r="I7" i="6"/>
  <c r="C7" i="6"/>
  <c r="V6" i="6"/>
  <c r="O6" i="6"/>
  <c r="I6" i="6"/>
  <c r="C6" i="6"/>
  <c r="V5" i="6"/>
  <c r="O5" i="6"/>
  <c r="I5" i="6"/>
  <c r="C5" i="6"/>
  <c r="C5" i="19"/>
  <c r="C20" i="18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" i="7"/>
  <c r="C3" i="6"/>
  <c r="C4" i="6"/>
  <c r="C2" i="6"/>
  <c r="C5" i="15"/>
  <c r="C47" i="14"/>
  <c r="J50" i="5"/>
  <c r="K50" i="5"/>
  <c r="L50" i="5"/>
  <c r="M50" i="5"/>
  <c r="N50" i="5"/>
  <c r="C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2" i="5"/>
  <c r="C14" i="13"/>
  <c r="C17" i="12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" i="4"/>
  <c r="C5" i="11"/>
  <c r="C29" i="10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2" i="3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2" i="1"/>
  <c r="I8" i="7"/>
  <c r="O8" i="7"/>
  <c r="V8" i="7"/>
  <c r="I9" i="7"/>
  <c r="O9" i="7"/>
  <c r="V9" i="7"/>
  <c r="I10" i="7"/>
  <c r="O10" i="7"/>
  <c r="V10" i="7"/>
  <c r="I14" i="7"/>
  <c r="O14" i="7"/>
  <c r="V14" i="7"/>
  <c r="I15" i="7"/>
  <c r="O15" i="7"/>
  <c r="V15" i="7"/>
  <c r="I16" i="7"/>
  <c r="O16" i="7"/>
  <c r="V16" i="7"/>
  <c r="D50" i="5"/>
  <c r="E50" i="5"/>
  <c r="F50" i="5"/>
  <c r="G50" i="5"/>
  <c r="H50" i="5"/>
  <c r="V19" i="7"/>
  <c r="O19" i="7"/>
  <c r="I19" i="7"/>
  <c r="V18" i="7"/>
  <c r="O18" i="7"/>
  <c r="I18" i="7"/>
  <c r="V17" i="7"/>
  <c r="O17" i="7"/>
  <c r="I17" i="7"/>
  <c r="V3" i="7"/>
  <c r="V4" i="7"/>
  <c r="V5" i="7"/>
  <c r="V6" i="7"/>
  <c r="V7" i="7"/>
  <c r="V11" i="7"/>
  <c r="V12" i="7"/>
  <c r="V13" i="7"/>
  <c r="V20" i="7"/>
  <c r="V21" i="7"/>
  <c r="V22" i="7"/>
  <c r="V2" i="7"/>
  <c r="O3" i="7"/>
  <c r="O4" i="7"/>
  <c r="O5" i="7"/>
  <c r="O6" i="7"/>
  <c r="O7" i="7"/>
  <c r="O11" i="7"/>
  <c r="O12" i="7"/>
  <c r="O13" i="7"/>
  <c r="O20" i="7"/>
  <c r="O21" i="7"/>
  <c r="O22" i="7"/>
  <c r="O2" i="7"/>
  <c r="I3" i="7"/>
  <c r="I4" i="7"/>
  <c r="I5" i="7"/>
  <c r="I6" i="7"/>
  <c r="I7" i="7"/>
  <c r="I11" i="7"/>
  <c r="I12" i="7"/>
  <c r="I13" i="7"/>
  <c r="I20" i="7"/>
  <c r="I21" i="7"/>
  <c r="I22" i="7"/>
  <c r="I2" i="7"/>
  <c r="V3" i="6"/>
  <c r="V4" i="6"/>
  <c r="V8" i="6"/>
  <c r="V9" i="6"/>
  <c r="V10" i="6"/>
  <c r="V2" i="6"/>
  <c r="O3" i="6"/>
  <c r="O4" i="6"/>
  <c r="O8" i="6"/>
  <c r="O9" i="6"/>
  <c r="O10" i="6"/>
  <c r="O2" i="6"/>
  <c r="I3" i="6"/>
  <c r="I4" i="6"/>
  <c r="I8" i="6"/>
  <c r="I9" i="6"/>
  <c r="I10" i="6"/>
  <c r="I2" i="6"/>
  <c r="V3" i="5"/>
  <c r="V4" i="5"/>
  <c r="V5" i="5"/>
  <c r="V6" i="5"/>
  <c r="V7" i="5"/>
  <c r="V8" i="5"/>
  <c r="V9" i="5"/>
  <c r="V10" i="5"/>
  <c r="V11" i="5"/>
  <c r="V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V27" i="5"/>
  <c r="V28" i="5"/>
  <c r="V29" i="5"/>
  <c r="V30" i="5"/>
  <c r="V31" i="5"/>
  <c r="V32" i="5"/>
  <c r="V33" i="5"/>
  <c r="V34" i="5"/>
  <c r="V35" i="5"/>
  <c r="V36" i="5"/>
  <c r="V37" i="5"/>
  <c r="V38" i="5"/>
  <c r="V39" i="5"/>
  <c r="V40" i="5"/>
  <c r="V41" i="5"/>
  <c r="V42" i="5"/>
  <c r="V43" i="5"/>
  <c r="V44" i="5"/>
  <c r="V45" i="5"/>
  <c r="V46" i="5"/>
  <c r="V47" i="5"/>
  <c r="V48" i="5"/>
  <c r="V49" i="5"/>
  <c r="V2" i="5"/>
  <c r="O3" i="5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2" i="5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2" i="5"/>
  <c r="V3" i="4"/>
  <c r="V4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" i="4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" i="4"/>
  <c r="V3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2" i="3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2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2" i="3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2" i="1"/>
  <c r="N21" i="2"/>
  <c r="N11" i="6"/>
  <c r="L11" i="6"/>
  <c r="K11" i="6"/>
  <c r="H11" i="6"/>
  <c r="F11" i="6"/>
  <c r="E11" i="6"/>
  <c r="C16" i="6"/>
  <c r="C15" i="6"/>
  <c r="AO21" i="2"/>
  <c r="K12" i="6" l="1"/>
  <c r="S15" i="2" s="1"/>
  <c r="L12" i="6"/>
  <c r="N12" i="6"/>
  <c r="V15" i="2" s="1"/>
  <c r="C50" i="5"/>
  <c r="C17" i="18" a="1"/>
  <c r="C17" i="18" s="1"/>
  <c r="C2" i="19" a="1"/>
  <c r="C2" i="19" s="1"/>
  <c r="T15" i="2"/>
  <c r="H12" i="6"/>
  <c r="J15" i="2" s="1"/>
  <c r="F12" i="6"/>
  <c r="E12" i="6"/>
  <c r="G15" i="2" s="1"/>
  <c r="AM21" i="2"/>
  <c r="AL21" i="2"/>
  <c r="AK21" i="2"/>
  <c r="AM12" i="2"/>
  <c r="AL12" i="2"/>
  <c r="AK12" i="2"/>
  <c r="AM18" i="2"/>
  <c r="AL18" i="2"/>
  <c r="AK18" i="2"/>
  <c r="AM15" i="2"/>
  <c r="AL15" i="2"/>
  <c r="AK15" i="2"/>
  <c r="AM9" i="2"/>
  <c r="AL9" i="2"/>
  <c r="AK9" i="2"/>
  <c r="AM6" i="2"/>
  <c r="AL6" i="2"/>
  <c r="AK6" i="2"/>
  <c r="Z21" i="2"/>
  <c r="Y21" i="2"/>
  <c r="X21" i="2"/>
  <c r="Z18" i="2"/>
  <c r="Z15" i="2"/>
  <c r="Z12" i="2"/>
  <c r="Z9" i="2"/>
  <c r="Z6" i="2"/>
  <c r="Y18" i="2"/>
  <c r="Y15" i="2"/>
  <c r="Y12" i="2"/>
  <c r="Y9" i="2"/>
  <c r="Y6" i="2"/>
  <c r="X18" i="2"/>
  <c r="X15" i="2"/>
  <c r="X12" i="2"/>
  <c r="X9" i="2"/>
  <c r="X6" i="2"/>
  <c r="M21" i="2"/>
  <c r="L21" i="2"/>
  <c r="H15" i="2" l="1"/>
  <c r="N18" i="2"/>
  <c r="M18" i="2"/>
  <c r="L18" i="2"/>
  <c r="N15" i="2"/>
  <c r="M15" i="2"/>
  <c r="L15" i="2"/>
  <c r="N12" i="2"/>
  <c r="M12" i="2"/>
  <c r="L12" i="2"/>
  <c r="N9" i="2"/>
  <c r="M9" i="2"/>
  <c r="L9" i="2"/>
  <c r="N6" i="2"/>
  <c r="M6" i="2"/>
  <c r="L6" i="2"/>
  <c r="AM4" i="2"/>
  <c r="AM3" i="2"/>
  <c r="AL4" i="2"/>
  <c r="AL3" i="2"/>
  <c r="AK4" i="2"/>
  <c r="AK3" i="2"/>
  <c r="Z4" i="2"/>
  <c r="Z3" i="2"/>
  <c r="Y4" i="2"/>
  <c r="Y3" i="2"/>
  <c r="X4" i="2"/>
  <c r="X3" i="2"/>
  <c r="N4" i="2"/>
  <c r="N3" i="2"/>
  <c r="M4" i="2"/>
  <c r="M3" i="2"/>
  <c r="L4" i="2"/>
  <c r="L3" i="2" l="1"/>
  <c r="AE12" i="2"/>
  <c r="R12" i="2"/>
  <c r="F12" i="2"/>
  <c r="AE9" i="2"/>
  <c r="R9" i="2"/>
  <c r="F9" i="2"/>
  <c r="AD12" i="2"/>
  <c r="Q12" i="2"/>
  <c r="AD9" i="2"/>
  <c r="Q9" i="2"/>
  <c r="E12" i="2"/>
  <c r="E9" i="2"/>
  <c r="AE6" i="2"/>
  <c r="R6" i="2"/>
  <c r="AD6" i="2"/>
  <c r="Q6" i="2"/>
  <c r="F6" i="2"/>
  <c r="E6" i="2"/>
  <c r="AE15" i="2"/>
  <c r="R15" i="2"/>
  <c r="AD15" i="2"/>
  <c r="Q15" i="2"/>
  <c r="F15" i="2"/>
  <c r="E15" i="2"/>
  <c r="AE18" i="2"/>
  <c r="R18" i="2"/>
  <c r="AD18" i="2"/>
  <c r="Q18" i="2"/>
  <c r="F18" i="2"/>
  <c r="E18" i="2"/>
  <c r="AC18" i="2"/>
  <c r="AC15" i="2"/>
  <c r="AC12" i="2"/>
  <c r="AC9" i="2"/>
  <c r="AC6" i="2"/>
  <c r="P18" i="2"/>
  <c r="P15" i="2"/>
  <c r="P12" i="2"/>
  <c r="P9" i="2"/>
  <c r="P6" i="2"/>
  <c r="D18" i="2"/>
  <c r="D15" i="2"/>
  <c r="D12" i="2"/>
  <c r="D9" i="2"/>
  <c r="D6" i="2"/>
  <c r="AE4" i="2"/>
  <c r="AE3" i="2"/>
  <c r="AD4" i="2"/>
  <c r="AD3" i="2"/>
  <c r="R4" i="2"/>
  <c r="R3" i="2"/>
  <c r="Q4" i="2"/>
  <c r="Q3" i="2"/>
  <c r="AC4" i="2"/>
  <c r="P4" i="2"/>
  <c r="AC3" i="2"/>
  <c r="P3" i="2"/>
  <c r="F4" i="2"/>
  <c r="F3" i="2"/>
  <c r="E4" i="2"/>
  <c r="E3" i="2"/>
  <c r="D4" i="2"/>
  <c r="D3" i="2"/>
  <c r="R20" i="2"/>
  <c r="C2" i="18" a="1"/>
  <c r="C2" i="17" a="1"/>
  <c r="F17" i="2" s="1"/>
  <c r="C2" i="16" a="1"/>
  <c r="C44" i="14" a="1"/>
  <c r="C44" i="14" s="1"/>
  <c r="C2" i="14" a="1"/>
  <c r="C2" i="15" a="1"/>
  <c r="C2" i="13" a="1"/>
  <c r="T14" i="13" s="1"/>
  <c r="C2" i="12" a="1"/>
  <c r="F10" i="2" s="1"/>
  <c r="C2" i="11" a="1"/>
  <c r="AC8" i="2" s="1"/>
  <c r="C23" i="10" a="1"/>
  <c r="C23" i="10" s="1"/>
  <c r="C2" i="10" a="1"/>
  <c r="U23" i="7"/>
  <c r="AI18" i="2" s="1"/>
  <c r="T23" i="7"/>
  <c r="S23" i="7"/>
  <c r="AG18" i="2" s="1"/>
  <c r="R23" i="7"/>
  <c r="AF18" i="2" s="1"/>
  <c r="Q23" i="7"/>
  <c r="AB18" i="2" s="1"/>
  <c r="P23" i="7"/>
  <c r="AA18" i="2" s="1"/>
  <c r="N23" i="7"/>
  <c r="V18" i="2" s="1"/>
  <c r="M23" i="7"/>
  <c r="L23" i="7"/>
  <c r="T18" i="2" s="1"/>
  <c r="K23" i="7"/>
  <c r="S18" i="2" s="1"/>
  <c r="J23" i="7"/>
  <c r="O18" i="2" s="1"/>
  <c r="H23" i="7"/>
  <c r="J18" i="2" s="1"/>
  <c r="G23" i="7"/>
  <c r="F23" i="7"/>
  <c r="H18" i="2" s="1"/>
  <c r="E23" i="7"/>
  <c r="G18" i="2" s="1"/>
  <c r="D23" i="7"/>
  <c r="U11" i="6"/>
  <c r="U12" i="6" s="1"/>
  <c r="AI15" i="2" s="1"/>
  <c r="T11" i="6"/>
  <c r="S11" i="6"/>
  <c r="S12" i="6" s="1"/>
  <c r="AG15" i="2" s="1"/>
  <c r="R11" i="6"/>
  <c r="R12" i="6" s="1"/>
  <c r="AF15" i="2" s="1"/>
  <c r="Q11" i="6"/>
  <c r="Q12" i="6" s="1"/>
  <c r="AB15" i="2" s="1"/>
  <c r="P11" i="6"/>
  <c r="P12" i="6" s="1"/>
  <c r="AA15" i="2" s="1"/>
  <c r="M11" i="6"/>
  <c r="J11" i="6"/>
  <c r="J12" i="6" s="1"/>
  <c r="O15" i="2" s="1"/>
  <c r="G11" i="6"/>
  <c r="D11" i="6"/>
  <c r="C11" i="6" s="1"/>
  <c r="U50" i="5"/>
  <c r="AI12" i="2" s="1"/>
  <c r="T50" i="5"/>
  <c r="S50" i="5"/>
  <c r="AG12" i="2" s="1"/>
  <c r="R50" i="5"/>
  <c r="AF12" i="2" s="1"/>
  <c r="Q50" i="5"/>
  <c r="AB12" i="2" s="1"/>
  <c r="P50" i="5"/>
  <c r="AA12" i="2" s="1"/>
  <c r="V12" i="2"/>
  <c r="T12" i="2"/>
  <c r="S12" i="2"/>
  <c r="O12" i="2"/>
  <c r="J12" i="2"/>
  <c r="H12" i="2"/>
  <c r="G12" i="2"/>
  <c r="U29" i="4"/>
  <c r="AI9" i="2" s="1"/>
  <c r="T29" i="4"/>
  <c r="S29" i="4"/>
  <c r="R29" i="4"/>
  <c r="AF9" i="2" s="1"/>
  <c r="Q29" i="4"/>
  <c r="AB9" i="2" s="1"/>
  <c r="P29" i="4"/>
  <c r="AA9" i="2" s="1"/>
  <c r="N29" i="4"/>
  <c r="V9" i="2" s="1"/>
  <c r="M29" i="4"/>
  <c r="L29" i="4"/>
  <c r="T9" i="2" s="1"/>
  <c r="K29" i="4"/>
  <c r="S9" i="2" s="1"/>
  <c r="J29" i="4"/>
  <c r="O9" i="2" s="1"/>
  <c r="H29" i="4"/>
  <c r="J9" i="2" s="1"/>
  <c r="G29" i="4"/>
  <c r="F29" i="4"/>
  <c r="H9" i="2" s="1"/>
  <c r="E29" i="4"/>
  <c r="G9" i="2" s="1"/>
  <c r="D29" i="4"/>
  <c r="C29" i="4" s="1"/>
  <c r="U32" i="3"/>
  <c r="AI6" i="2" s="1"/>
  <c r="T32" i="3"/>
  <c r="S32" i="3"/>
  <c r="AG6" i="2" s="1"/>
  <c r="R32" i="3"/>
  <c r="AF6" i="2" s="1"/>
  <c r="Q32" i="3"/>
  <c r="AB6" i="2" s="1"/>
  <c r="P32" i="3"/>
  <c r="AA6" i="2" s="1"/>
  <c r="N32" i="3"/>
  <c r="V6" i="2" s="1"/>
  <c r="M32" i="3"/>
  <c r="L32" i="3"/>
  <c r="T6" i="2" s="1"/>
  <c r="K32" i="3"/>
  <c r="S6" i="2" s="1"/>
  <c r="J32" i="3"/>
  <c r="O6" i="2" s="1"/>
  <c r="H32" i="3"/>
  <c r="J6" i="2" s="1"/>
  <c r="G32" i="3"/>
  <c r="F32" i="3"/>
  <c r="E32" i="3"/>
  <c r="G6" i="2" s="1"/>
  <c r="D32" i="3"/>
  <c r="C32" i="3" s="1"/>
  <c r="J32" i="1"/>
  <c r="O4" i="2" s="1"/>
  <c r="K32" i="1"/>
  <c r="S3" i="2" s="1"/>
  <c r="L32" i="1"/>
  <c r="T3" i="2" s="1"/>
  <c r="M32" i="1"/>
  <c r="N32" i="1"/>
  <c r="V3" i="2" s="1"/>
  <c r="P32" i="1"/>
  <c r="AA4" i="2" s="1"/>
  <c r="Q32" i="1"/>
  <c r="AB4" i="2" s="1"/>
  <c r="R32" i="1"/>
  <c r="AF3" i="2" s="1"/>
  <c r="S32" i="1"/>
  <c r="T32" i="1"/>
  <c r="U32" i="1"/>
  <c r="AI3" i="2" s="1"/>
  <c r="C23" i="7" l="1"/>
  <c r="B18" i="2" s="1"/>
  <c r="B6" i="2"/>
  <c r="AC13" i="2"/>
  <c r="AH9" i="2"/>
  <c r="V29" i="4"/>
  <c r="AJ9" i="2" s="1"/>
  <c r="U9" i="2"/>
  <c r="O29" i="4"/>
  <c r="W9" i="2" s="1"/>
  <c r="I9" i="2"/>
  <c r="I29" i="4"/>
  <c r="K9" i="2" s="1"/>
  <c r="AH6" i="2"/>
  <c r="V32" i="3"/>
  <c r="AJ6" i="2" s="1"/>
  <c r="U6" i="2"/>
  <c r="O32" i="3"/>
  <c r="W6" i="2" s="1"/>
  <c r="I6" i="2"/>
  <c r="I32" i="3"/>
  <c r="K6" i="2" s="1"/>
  <c r="AH11" i="2"/>
  <c r="AH4" i="2"/>
  <c r="V32" i="1"/>
  <c r="AJ3" i="2" s="1"/>
  <c r="U4" i="2"/>
  <c r="O32" i="1"/>
  <c r="W3" i="2" s="1"/>
  <c r="AH18" i="2"/>
  <c r="V23" i="7"/>
  <c r="AJ18" i="2" s="1"/>
  <c r="U18" i="2"/>
  <c r="O23" i="7"/>
  <c r="W18" i="2" s="1"/>
  <c r="I18" i="2"/>
  <c r="I23" i="7"/>
  <c r="K18" i="2" s="1"/>
  <c r="T12" i="6"/>
  <c r="V11" i="6"/>
  <c r="M12" i="6"/>
  <c r="O12" i="6" s="1"/>
  <c r="W15" i="2" s="1"/>
  <c r="O11" i="6"/>
  <c r="G12" i="6"/>
  <c r="I12" i="6" s="1"/>
  <c r="K15" i="2" s="1"/>
  <c r="I11" i="6"/>
  <c r="AH12" i="2"/>
  <c r="V50" i="5"/>
  <c r="AJ12" i="2" s="1"/>
  <c r="U12" i="2"/>
  <c r="O50" i="5"/>
  <c r="W12" i="2" s="1"/>
  <c r="I12" i="2"/>
  <c r="I50" i="5"/>
  <c r="K12" i="2" s="1"/>
  <c r="B12" i="2"/>
  <c r="B9" i="2"/>
  <c r="D12" i="6"/>
  <c r="C12" i="6" s="1"/>
  <c r="B15" i="2"/>
  <c r="T29" i="10"/>
  <c r="C9" i="2"/>
  <c r="AN9" i="2" s="1"/>
  <c r="C18" i="2"/>
  <c r="AN18" i="2" s="1"/>
  <c r="AP18" i="2" s="1"/>
  <c r="C12" i="2"/>
  <c r="AN12" i="2" s="1"/>
  <c r="AP12" i="2" s="1"/>
  <c r="AG9" i="2"/>
  <c r="L5" i="11"/>
  <c r="T8" i="2" s="1"/>
  <c r="T5" i="11"/>
  <c r="U5" i="11"/>
  <c r="AI8" i="2" s="1"/>
  <c r="K5" i="11"/>
  <c r="S8" i="2" s="1"/>
  <c r="C6" i="2"/>
  <c r="AN6" i="2" s="1"/>
  <c r="H6" i="2"/>
  <c r="F5" i="19"/>
  <c r="P5" i="19"/>
  <c r="AA20" i="2" s="1"/>
  <c r="Q5" i="19"/>
  <c r="AB20" i="2" s="1"/>
  <c r="R5" i="19"/>
  <c r="AF20" i="2" s="1"/>
  <c r="J5" i="19"/>
  <c r="O20" i="2" s="1"/>
  <c r="S5" i="19"/>
  <c r="AG20" i="2" s="1"/>
  <c r="AC20" i="2"/>
  <c r="AD20" i="2"/>
  <c r="K5" i="19"/>
  <c r="S20" i="2" s="1"/>
  <c r="T5" i="19"/>
  <c r="G5" i="19"/>
  <c r="L5" i="19"/>
  <c r="T20" i="2" s="1"/>
  <c r="E20" i="2"/>
  <c r="D5" i="19"/>
  <c r="M5" i="19"/>
  <c r="AM20" i="2"/>
  <c r="AL20" i="2"/>
  <c r="X20" i="2"/>
  <c r="Y20" i="2"/>
  <c r="Z20" i="2"/>
  <c r="AK20" i="2"/>
  <c r="L20" i="2"/>
  <c r="N20" i="2"/>
  <c r="M20" i="2"/>
  <c r="H5" i="19"/>
  <c r="J20" i="2" s="1"/>
  <c r="Q20" i="2"/>
  <c r="U5" i="19"/>
  <c r="AI20" i="2" s="1"/>
  <c r="P20" i="2"/>
  <c r="E5" i="19"/>
  <c r="G20" i="2" s="1"/>
  <c r="N5" i="19"/>
  <c r="V20" i="2" s="1"/>
  <c r="D20" i="2"/>
  <c r="F20" i="2"/>
  <c r="AE20" i="2"/>
  <c r="C2" i="18"/>
  <c r="AL19" i="2"/>
  <c r="Z19" i="2"/>
  <c r="AK19" i="2"/>
  <c r="X19" i="2"/>
  <c r="Y19" i="2"/>
  <c r="AM19" i="2"/>
  <c r="N19" i="2"/>
  <c r="M19" i="2"/>
  <c r="L19" i="2"/>
  <c r="AD19" i="2"/>
  <c r="S20" i="18"/>
  <c r="AG19" i="2" s="1"/>
  <c r="K20" i="18"/>
  <c r="S19" i="2" s="1"/>
  <c r="T20" i="18"/>
  <c r="F19" i="2"/>
  <c r="Q19" i="2"/>
  <c r="Q20" i="18"/>
  <c r="AB19" i="2" s="1"/>
  <c r="H20" i="18"/>
  <c r="J19" i="2" s="1"/>
  <c r="L20" i="18"/>
  <c r="U20" i="18"/>
  <c r="AI19" i="2" s="1"/>
  <c r="F20" i="18"/>
  <c r="H19" i="2" s="1"/>
  <c r="D19" i="2"/>
  <c r="G20" i="18"/>
  <c r="R20" i="18"/>
  <c r="AF19" i="2" s="1"/>
  <c r="D20" i="18"/>
  <c r="M20" i="18"/>
  <c r="AC19" i="2"/>
  <c r="R19" i="2"/>
  <c r="P20" i="18"/>
  <c r="AA19" i="2" s="1"/>
  <c r="E19" i="2"/>
  <c r="J20" i="18"/>
  <c r="O19" i="2" s="1"/>
  <c r="E20" i="18"/>
  <c r="G19" i="2" s="1"/>
  <c r="N20" i="18"/>
  <c r="V19" i="2" s="1"/>
  <c r="P19" i="2"/>
  <c r="AE19" i="2"/>
  <c r="G5" i="17"/>
  <c r="E5" i="17"/>
  <c r="G17" i="2" s="1"/>
  <c r="N5" i="17"/>
  <c r="V17" i="2" s="1"/>
  <c r="T16" i="2"/>
  <c r="F5" i="17"/>
  <c r="H17" i="2" s="1"/>
  <c r="C2" i="17"/>
  <c r="AM17" i="2"/>
  <c r="AK17" i="2"/>
  <c r="Z17" i="2"/>
  <c r="Y17" i="2"/>
  <c r="X17" i="2"/>
  <c r="AL17" i="2"/>
  <c r="N17" i="2"/>
  <c r="M17" i="2"/>
  <c r="L17" i="2"/>
  <c r="AE17" i="2"/>
  <c r="O16" i="2"/>
  <c r="H5" i="17"/>
  <c r="J17" i="2" s="1"/>
  <c r="AA16" i="2"/>
  <c r="J5" i="17"/>
  <c r="O17" i="2" s="1"/>
  <c r="R5" i="17"/>
  <c r="AF17" i="2" s="1"/>
  <c r="Q16" i="2"/>
  <c r="R17" i="2"/>
  <c r="Q5" i="17"/>
  <c r="AB17" i="2" s="1"/>
  <c r="AG16" i="2"/>
  <c r="K5" i="17"/>
  <c r="S17" i="2" s="1"/>
  <c r="S5" i="17"/>
  <c r="AG17" i="2" s="1"/>
  <c r="D17" i="2"/>
  <c r="P16" i="2"/>
  <c r="AD16" i="2"/>
  <c r="G16" i="2"/>
  <c r="AI16" i="2"/>
  <c r="L5" i="17"/>
  <c r="T5" i="17"/>
  <c r="P17" i="2"/>
  <c r="AC16" i="2"/>
  <c r="E16" i="2"/>
  <c r="Q17" i="2"/>
  <c r="P5" i="17"/>
  <c r="AA17" i="2" s="1"/>
  <c r="V16" i="2"/>
  <c r="D5" i="17"/>
  <c r="M5" i="17"/>
  <c r="U5" i="17"/>
  <c r="AI17" i="2" s="1"/>
  <c r="AC17" i="2"/>
  <c r="E17" i="2"/>
  <c r="AD17" i="2"/>
  <c r="C2" i="16"/>
  <c r="AK16" i="2"/>
  <c r="Z16" i="2"/>
  <c r="AL16" i="2"/>
  <c r="X16" i="2"/>
  <c r="AM16" i="2"/>
  <c r="Y16" i="2"/>
  <c r="N16" i="2"/>
  <c r="M16" i="2"/>
  <c r="L16" i="2"/>
  <c r="F16" i="2"/>
  <c r="AB16" i="2"/>
  <c r="J16" i="2"/>
  <c r="AF16" i="2"/>
  <c r="R16" i="2"/>
  <c r="S16" i="2"/>
  <c r="D16" i="2"/>
  <c r="AE16" i="2"/>
  <c r="C2" i="15"/>
  <c r="Z14" i="2"/>
  <c r="AL14" i="2"/>
  <c r="Y14" i="2"/>
  <c r="AK14" i="2"/>
  <c r="AM14" i="2"/>
  <c r="X14" i="2"/>
  <c r="N14" i="2"/>
  <c r="M14" i="2"/>
  <c r="L14" i="2"/>
  <c r="P14" i="2"/>
  <c r="F14" i="2"/>
  <c r="L5" i="15"/>
  <c r="T14" i="2" s="1"/>
  <c r="M5" i="15"/>
  <c r="F5" i="15"/>
  <c r="H14" i="2" s="1"/>
  <c r="G5" i="15"/>
  <c r="Q5" i="15"/>
  <c r="AB14" i="2" s="1"/>
  <c r="E14" i="2"/>
  <c r="K5" i="15"/>
  <c r="S14" i="2" s="1"/>
  <c r="U5" i="15"/>
  <c r="AI14" i="2" s="1"/>
  <c r="D5" i="15"/>
  <c r="P5" i="15"/>
  <c r="AA14" i="2" s="1"/>
  <c r="AE14" i="2"/>
  <c r="H5" i="15"/>
  <c r="J14" i="2" s="1"/>
  <c r="R5" i="15"/>
  <c r="AF14" i="2" s="1"/>
  <c r="D14" i="2"/>
  <c r="T5" i="15"/>
  <c r="J5" i="15"/>
  <c r="O14" i="2" s="1"/>
  <c r="S5" i="15"/>
  <c r="AG14" i="2" s="1"/>
  <c r="AC14" i="2"/>
  <c r="Q14" i="2"/>
  <c r="E5" i="15"/>
  <c r="G14" i="2" s="1"/>
  <c r="N5" i="15"/>
  <c r="V14" i="2" s="1"/>
  <c r="AD14" i="2"/>
  <c r="R14" i="2"/>
  <c r="E13" i="2"/>
  <c r="D47" i="14"/>
  <c r="M47" i="14"/>
  <c r="P13" i="2"/>
  <c r="L47" i="14"/>
  <c r="T13" i="2" s="1"/>
  <c r="F47" i="14"/>
  <c r="H13" i="2" s="1"/>
  <c r="P47" i="14"/>
  <c r="AA13" i="2" s="1"/>
  <c r="AE13" i="2"/>
  <c r="G47" i="14"/>
  <c r="Q47" i="14"/>
  <c r="AB13" i="2" s="1"/>
  <c r="C2" i="14"/>
  <c r="AK13" i="2"/>
  <c r="Z13" i="2"/>
  <c r="Y13" i="2"/>
  <c r="X13" i="2"/>
  <c r="AM13" i="2"/>
  <c r="AL13" i="2"/>
  <c r="L13" i="2"/>
  <c r="N13" i="2"/>
  <c r="M13" i="2"/>
  <c r="N47" i="14"/>
  <c r="V13" i="2" s="1"/>
  <c r="H47" i="14"/>
  <c r="J13" i="2" s="1"/>
  <c r="R47" i="14"/>
  <c r="AF13" i="2" s="1"/>
  <c r="U47" i="14"/>
  <c r="AI13" i="2" s="1"/>
  <c r="E47" i="14"/>
  <c r="G13" i="2" s="1"/>
  <c r="J47" i="14"/>
  <c r="O13" i="2" s="1"/>
  <c r="S47" i="14"/>
  <c r="AG13" i="2" s="1"/>
  <c r="D13" i="2"/>
  <c r="Q13" i="2"/>
  <c r="F13" i="2"/>
  <c r="R13" i="2"/>
  <c r="K47" i="14"/>
  <c r="S13" i="2" s="1"/>
  <c r="T47" i="14"/>
  <c r="AD13" i="2"/>
  <c r="H14" i="13"/>
  <c r="J11" i="2" s="1"/>
  <c r="R11" i="2"/>
  <c r="AC11" i="2"/>
  <c r="K14" i="13"/>
  <c r="S11" i="2" s="1"/>
  <c r="C2" i="13"/>
  <c r="Y11" i="2"/>
  <c r="AL11" i="2"/>
  <c r="Z11" i="2"/>
  <c r="AK11" i="2"/>
  <c r="X11" i="2"/>
  <c r="AM11" i="2"/>
  <c r="M11" i="2"/>
  <c r="L11" i="2"/>
  <c r="N11" i="2"/>
  <c r="L14" i="13"/>
  <c r="U14" i="13"/>
  <c r="AI11" i="2" s="1"/>
  <c r="R14" i="13"/>
  <c r="AF11" i="2" s="1"/>
  <c r="D14" i="13"/>
  <c r="M14" i="13"/>
  <c r="Q11" i="2"/>
  <c r="E14" i="13"/>
  <c r="G11" i="2" s="1"/>
  <c r="N14" i="13"/>
  <c r="V11" i="2" s="1"/>
  <c r="P11" i="2"/>
  <c r="AD11" i="2"/>
  <c r="J14" i="13"/>
  <c r="O11" i="2" s="1"/>
  <c r="D11" i="2"/>
  <c r="F14" i="13"/>
  <c r="P14" i="13"/>
  <c r="AA11" i="2" s="1"/>
  <c r="E11" i="2"/>
  <c r="S14" i="13"/>
  <c r="V14" i="13" s="1"/>
  <c r="AE11" i="2"/>
  <c r="G14" i="13"/>
  <c r="Q14" i="13"/>
  <c r="AB11" i="2" s="1"/>
  <c r="F11" i="2"/>
  <c r="E17" i="12"/>
  <c r="G10" i="2" s="1"/>
  <c r="N17" i="12"/>
  <c r="V10" i="2" s="1"/>
  <c r="AC10" i="2"/>
  <c r="F17" i="12"/>
  <c r="P17" i="12"/>
  <c r="AA10" i="2" s="1"/>
  <c r="G17" i="12"/>
  <c r="Q17" i="12"/>
  <c r="AB10" i="2" s="1"/>
  <c r="C2" i="12"/>
  <c r="X10" i="2"/>
  <c r="AM10" i="2"/>
  <c r="Y10" i="2"/>
  <c r="AK10" i="2"/>
  <c r="AL10" i="2"/>
  <c r="Z10" i="2"/>
  <c r="L10" i="2"/>
  <c r="N10" i="2"/>
  <c r="M10" i="2"/>
  <c r="R10" i="2"/>
  <c r="K17" i="12"/>
  <c r="S10" i="2" s="1"/>
  <c r="T17" i="12"/>
  <c r="Q10" i="2"/>
  <c r="AE10" i="2"/>
  <c r="H17" i="12"/>
  <c r="J10" i="2" s="1"/>
  <c r="P10" i="2"/>
  <c r="J17" i="12"/>
  <c r="O10" i="2" s="1"/>
  <c r="S17" i="12"/>
  <c r="AG10" i="2" s="1"/>
  <c r="L17" i="12"/>
  <c r="U17" i="12"/>
  <c r="AI10" i="2" s="1"/>
  <c r="D10" i="2"/>
  <c r="AD10" i="2"/>
  <c r="D17" i="12"/>
  <c r="M17" i="12"/>
  <c r="E10" i="2"/>
  <c r="R17" i="12"/>
  <c r="AF10" i="2" s="1"/>
  <c r="D8" i="2"/>
  <c r="E5" i="11"/>
  <c r="G8" i="2" s="1"/>
  <c r="N5" i="11"/>
  <c r="V8" i="2" s="1"/>
  <c r="AD8" i="2"/>
  <c r="F5" i="11"/>
  <c r="H8" i="2" s="1"/>
  <c r="P5" i="11"/>
  <c r="AA8" i="2" s="1"/>
  <c r="R8" i="2"/>
  <c r="G5" i="11"/>
  <c r="P8" i="2"/>
  <c r="F8" i="2"/>
  <c r="D5" i="11"/>
  <c r="M5" i="11"/>
  <c r="Q5" i="11"/>
  <c r="AB8" i="2" s="1"/>
  <c r="AE8" i="2"/>
  <c r="H5" i="11"/>
  <c r="J8" i="2" s="1"/>
  <c r="R5" i="11"/>
  <c r="AF8" i="2" s="1"/>
  <c r="J5" i="11"/>
  <c r="O8" i="2" s="1"/>
  <c r="S5" i="11"/>
  <c r="AG8" i="2" s="1"/>
  <c r="C2" i="11"/>
  <c r="X8" i="2"/>
  <c r="Y8" i="2"/>
  <c r="AM8" i="2"/>
  <c r="AL8" i="2"/>
  <c r="AK8" i="2"/>
  <c r="Z8" i="2"/>
  <c r="N8" i="2"/>
  <c r="M8" i="2"/>
  <c r="L8" i="2"/>
  <c r="E8" i="2"/>
  <c r="Q8" i="2"/>
  <c r="U29" i="10"/>
  <c r="AI7" i="2" s="1"/>
  <c r="D29" i="10"/>
  <c r="E29" i="10"/>
  <c r="G7" i="2" s="1"/>
  <c r="N29" i="10"/>
  <c r="V7" i="2" s="1"/>
  <c r="F7" i="2"/>
  <c r="R7" i="2"/>
  <c r="F29" i="10"/>
  <c r="P29" i="10"/>
  <c r="AA7" i="2" s="1"/>
  <c r="P7" i="2"/>
  <c r="AE7" i="2"/>
  <c r="H29" i="10"/>
  <c r="J7" i="2" s="1"/>
  <c r="R29" i="10"/>
  <c r="AF7" i="2" s="1"/>
  <c r="L29" i="10"/>
  <c r="M29" i="10"/>
  <c r="Q29" i="10"/>
  <c r="AB7" i="2" s="1"/>
  <c r="AC7" i="2"/>
  <c r="J29" i="10"/>
  <c r="O7" i="2" s="1"/>
  <c r="S29" i="10"/>
  <c r="D7" i="2"/>
  <c r="E7" i="2"/>
  <c r="G29" i="10"/>
  <c r="K29" i="10"/>
  <c r="S7" i="2" s="1"/>
  <c r="C2" i="10"/>
  <c r="Y7" i="2"/>
  <c r="AK7" i="2"/>
  <c r="Z7" i="2"/>
  <c r="AL7" i="2"/>
  <c r="AM7" i="2"/>
  <c r="X7" i="2"/>
  <c r="L7" i="2"/>
  <c r="M7" i="2"/>
  <c r="N7" i="2"/>
  <c r="Q7" i="2"/>
  <c r="AD7" i="2"/>
  <c r="AF4" i="2"/>
  <c r="AG4" i="2"/>
  <c r="AA3" i="2"/>
  <c r="AA21" i="2" s="1"/>
  <c r="AB3" i="2"/>
  <c r="AG3" i="2"/>
  <c r="AI4" i="2"/>
  <c r="AH3" i="2"/>
  <c r="S4" i="2"/>
  <c r="T4" i="2"/>
  <c r="U3" i="2"/>
  <c r="V4" i="2"/>
  <c r="O3" i="2"/>
  <c r="O21" i="2" s="1"/>
  <c r="R21" i="2"/>
  <c r="AE21" i="2"/>
  <c r="AD21" i="2"/>
  <c r="Q21" i="2"/>
  <c r="F21" i="2"/>
  <c r="E21" i="2"/>
  <c r="AC21" i="2"/>
  <c r="P21" i="2"/>
  <c r="D21" i="2"/>
  <c r="AI21" i="2"/>
  <c r="AF21" i="2"/>
  <c r="T21" i="2"/>
  <c r="V21" i="2"/>
  <c r="S21" i="2"/>
  <c r="C5" i="17" l="1"/>
  <c r="B17" i="2" s="1"/>
  <c r="B20" i="2"/>
  <c r="B19" i="2"/>
  <c r="B14" i="2"/>
  <c r="B13" i="2"/>
  <c r="B11" i="2"/>
  <c r="B10" i="2"/>
  <c r="B8" i="2"/>
  <c r="B7" i="2"/>
  <c r="U15" i="2"/>
  <c r="U21" i="2" s="1"/>
  <c r="W21" i="2" s="1"/>
  <c r="I15" i="2"/>
  <c r="U17" i="2"/>
  <c r="O5" i="17"/>
  <c r="W17" i="2" s="1"/>
  <c r="AH17" i="2"/>
  <c r="V5" i="17"/>
  <c r="AJ17" i="2" s="1"/>
  <c r="I17" i="2"/>
  <c r="I5" i="17"/>
  <c r="K17" i="2" s="1"/>
  <c r="AH16" i="2"/>
  <c r="V8" i="16"/>
  <c r="AJ16" i="2" s="1"/>
  <c r="U16" i="2"/>
  <c r="O8" i="16"/>
  <c r="W16" i="2" s="1"/>
  <c r="I16" i="2"/>
  <c r="U14" i="2"/>
  <c r="O5" i="15"/>
  <c r="W14" i="2" s="1"/>
  <c r="I14" i="2"/>
  <c r="I5" i="15"/>
  <c r="K14" i="2" s="1"/>
  <c r="AH14" i="2"/>
  <c r="V5" i="15"/>
  <c r="AJ14" i="2" s="1"/>
  <c r="U13" i="2"/>
  <c r="O47" i="14"/>
  <c r="W13" i="2" s="1"/>
  <c r="AH13" i="2"/>
  <c r="V47" i="14"/>
  <c r="AJ13" i="2" s="1"/>
  <c r="I13" i="2"/>
  <c r="I47" i="14"/>
  <c r="K13" i="2" s="1"/>
  <c r="I11" i="2"/>
  <c r="I14" i="13"/>
  <c r="K11" i="2" s="1"/>
  <c r="U11" i="2"/>
  <c r="O14" i="13"/>
  <c r="W11" i="2" s="1"/>
  <c r="U10" i="2"/>
  <c r="O17" i="12"/>
  <c r="W10" i="2" s="1"/>
  <c r="I10" i="2"/>
  <c r="I17" i="12"/>
  <c r="K10" i="2" s="1"/>
  <c r="V17" i="12"/>
  <c r="AJ10" i="2" s="1"/>
  <c r="O5" i="11"/>
  <c r="W8" i="2" s="1"/>
  <c r="AH8" i="2"/>
  <c r="V5" i="11"/>
  <c r="AJ8" i="2" s="1"/>
  <c r="I8" i="2"/>
  <c r="I5" i="11"/>
  <c r="K8" i="2" s="1"/>
  <c r="AH7" i="2"/>
  <c r="V29" i="10"/>
  <c r="AJ7" i="2" s="1"/>
  <c r="U7" i="2"/>
  <c r="O29" i="10"/>
  <c r="W7" i="2" s="1"/>
  <c r="I7" i="2"/>
  <c r="I29" i="10"/>
  <c r="K7" i="2" s="1"/>
  <c r="AH19" i="2"/>
  <c r="V20" i="18"/>
  <c r="AJ19" i="2" s="1"/>
  <c r="U20" i="2"/>
  <c r="O5" i="19"/>
  <c r="W20" i="2" s="1"/>
  <c r="AH20" i="2"/>
  <c r="V5" i="19"/>
  <c r="AJ20" i="2" s="1"/>
  <c r="I19" i="2"/>
  <c r="I20" i="18"/>
  <c r="K19" i="2" s="1"/>
  <c r="U19" i="2"/>
  <c r="O20" i="18"/>
  <c r="W19" i="2" s="1"/>
  <c r="I20" i="2"/>
  <c r="I5" i="19"/>
  <c r="K20" i="2" s="1"/>
  <c r="AH15" i="2"/>
  <c r="AH21" i="2" s="1"/>
  <c r="V12" i="6"/>
  <c r="AJ15" i="2" s="1"/>
  <c r="C15" i="2"/>
  <c r="AN15" i="2" s="1"/>
  <c r="AP15" i="2" s="1"/>
  <c r="AP21" i="2" s="1"/>
  <c r="AB21" i="2"/>
  <c r="AG21" i="2"/>
  <c r="AJ4" i="2"/>
  <c r="C17" i="2"/>
  <c r="C16" i="2"/>
  <c r="C14" i="2"/>
  <c r="C13" i="2"/>
  <c r="C8" i="2"/>
  <c r="C20" i="2"/>
  <c r="H20" i="2"/>
  <c r="T19" i="2"/>
  <c r="C19" i="2"/>
  <c r="T17" i="2"/>
  <c r="AJ11" i="2"/>
  <c r="AG11" i="2"/>
  <c r="T11" i="2"/>
  <c r="H11" i="2"/>
  <c r="C11" i="2"/>
  <c r="C10" i="2"/>
  <c r="AH10" i="2"/>
  <c r="H10" i="2"/>
  <c r="T10" i="2"/>
  <c r="U8" i="2"/>
  <c r="H7" i="2"/>
  <c r="T7" i="2"/>
  <c r="AG7" i="2"/>
  <c r="C7" i="2"/>
  <c r="W4" i="2"/>
  <c r="D32" i="1"/>
  <c r="E32" i="1"/>
  <c r="F32" i="1"/>
  <c r="G32" i="1"/>
  <c r="H32" i="1"/>
  <c r="I32" i="1" l="1"/>
  <c r="AJ21" i="2"/>
  <c r="I3" i="2"/>
  <c r="I21" i="2" s="1"/>
  <c r="I4" i="2"/>
  <c r="G3" i="2"/>
  <c r="G21" i="2" s="1"/>
  <c r="G4" i="2"/>
  <c r="J4" i="2"/>
  <c r="J3" i="2"/>
  <c r="J21" i="2" s="1"/>
  <c r="H3" i="2"/>
  <c r="H21" i="2" s="1"/>
  <c r="H4" i="2"/>
  <c r="C4" i="2"/>
  <c r="C3" i="2"/>
  <c r="C21" i="2" l="1"/>
  <c r="B21" i="2" s="1"/>
  <c r="AN3" i="2"/>
  <c r="AN21" i="2" s="1"/>
  <c r="K21" i="2"/>
  <c r="K4" i="2"/>
  <c r="K3" i="2"/>
  <c r="B4" i="2"/>
  <c r="B3" i="2"/>
  <c r="C8" i="16"/>
  <c r="B16" i="2" s="1"/>
  <c r="I8" i="16"/>
  <c r="K16" i="2" s="1"/>
  <c r="H1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tc={206EC38A-1469-44AA-BB21-6A1A938CA2DA}</author>
  </authors>
  <commentList>
    <comment ref="AP18" authorId="0" shapeId="0" xr:uid="{206EC38A-1469-44AA-BB21-6A1A938CA2DA}">
      <text>
        <t>[Threaded comment]
Your version of Excel allows you to read this threaded comment; however, any edits to it will get removed if the file is opened in a newer version of Excel. Learn more: https://go.microsoft.com/fwlink/?linkid=870924
Comment:
    See color coded sheet DEPT 68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<sst xmlns="http://schemas.openxmlformats.org/spreadsheetml/2006/main" count="1046" uniqueCount="158">
  <si>
    <t>Category Name</t>
  </si>
  <si>
    <t>Months of Inventory</t>
  </si>
  <si>
    <t>Total Inv 2024</t>
  </si>
  <si>
    <t>ST1 Inv 2024</t>
  </si>
  <si>
    <t>ST2 Inv 2024</t>
  </si>
  <si>
    <t>ST7 Inv 2024</t>
  </si>
  <si>
    <t>2024 YTD Purchases</t>
  </si>
  <si>
    <t>2024 YTD Sales at Cost</t>
  </si>
  <si>
    <t>2024 YTD Sales at Retail</t>
  </si>
  <si>
    <t>2024 GP$</t>
  </si>
  <si>
    <t>2024 GP%</t>
  </si>
  <si>
    <t>Total Inv 2023</t>
  </si>
  <si>
    <t>ST1 Inv 2023</t>
  </si>
  <si>
    <t>ST2 Inv 2023</t>
  </si>
  <si>
    <t>ST7 Inv 2023</t>
  </si>
  <si>
    <t>2023 YTD Purchases</t>
  </si>
  <si>
    <t>2023 YTD Sales at Cost</t>
  </si>
  <si>
    <t>2023 YTD Sales at Retail</t>
  </si>
  <si>
    <t>2023 GP$</t>
  </si>
  <si>
    <t>2023 GP%</t>
  </si>
  <si>
    <t>LYR Sales Total</t>
  </si>
  <si>
    <t>Building Materials Total</t>
  </si>
  <si>
    <t>BM Stock</t>
  </si>
  <si>
    <t>BM Special Order</t>
  </si>
  <si>
    <t>Lumber Total</t>
  </si>
  <si>
    <t>L Stock</t>
  </si>
  <si>
    <t>L Special Order</t>
  </si>
  <si>
    <t>Millwork Total</t>
  </si>
  <si>
    <t>M Stock</t>
  </si>
  <si>
    <t>M Special Order</t>
  </si>
  <si>
    <t>Hardware Total</t>
  </si>
  <si>
    <t>HW Stock</t>
  </si>
  <si>
    <t>HW Special Order</t>
  </si>
  <si>
    <t>Paint Total</t>
  </si>
  <si>
    <t>P Stock</t>
  </si>
  <si>
    <t>P Special Order</t>
  </si>
  <si>
    <t>Outdoor Living Total</t>
  </si>
  <si>
    <t>OL Stock</t>
  </si>
  <si>
    <t>OL Special Order</t>
  </si>
  <si>
    <t>Total:</t>
  </si>
  <si>
    <t>St</t>
  </si>
  <si>
    <t>Department Name</t>
  </si>
  <si>
    <t>GP$
YTD</t>
  </si>
  <si>
    <t>GP%
YTD</t>
  </si>
  <si>
    <t>GP$
2023 YTD</t>
  </si>
  <si>
    <t>LYR Sales
Total</t>
  </si>
  <si>
    <t>1</t>
  </si>
  <si>
    <t>DC DOCK HARDWARE</t>
  </si>
  <si>
    <t>2</t>
  </si>
  <si>
    <t>7</t>
  </si>
  <si>
    <t>EE COMPOSITES</t>
  </si>
  <si>
    <t>ER EXTERIOR RAILS</t>
  </si>
  <si>
    <t>FF MASONRY</t>
  </si>
  <si>
    <t>I INSULATION</t>
  </si>
  <si>
    <t>QQ ROOFING AND SIDING</t>
  </si>
  <si>
    <t>RR WALLBOARD &amp; HOUSEWRAP</t>
  </si>
  <si>
    <t>T TIMBERTECH &amp; TREX</t>
  </si>
  <si>
    <t>TT WALKWAYS</t>
  </si>
  <si>
    <t>W WOLF DECKING &amp; RAILS</t>
  </si>
  <si>
    <t>TOTALS:</t>
  </si>
  <si>
    <t>ID INDUSTRIAL WOODS</t>
  </si>
  <si>
    <t>LL PLYWOOD</t>
  </si>
  <si>
    <t>ME ENGINEERED</t>
  </si>
  <si>
    <t>MM FRAMING</t>
  </si>
  <si>
    <t>NN SPRUCE &amp; 5/4</t>
  </si>
  <si>
    <t>OO CEDAR</t>
  </si>
  <si>
    <t>PP TREATED LUMBER</t>
  </si>
  <si>
    <t>SL SPECIAL ORDER LUMBER</t>
  </si>
  <si>
    <t>SS HARDWOODS</t>
  </si>
  <si>
    <t>XL LUMBER DISCONTINUED</t>
  </si>
  <si>
    <t>CM CLEAR MOULDINGS</t>
  </si>
  <si>
    <t>DD ANDERSEN HARDWARE &amp; SCREENS</t>
  </si>
  <si>
    <t>HH DOORS-EXTERIOR (RES)</t>
  </si>
  <si>
    <t>JJ MILLWORK MISC</t>
  </si>
  <si>
    <t>KK MOULDING</t>
  </si>
  <si>
    <t>SA SPECIAL ORDER ANDERSEN</t>
  </si>
  <si>
    <t>SD SPECIAL ORDER DOORS</t>
  </si>
  <si>
    <t>SM SPECIAL ORDER MILLWORK</t>
  </si>
  <si>
    <t>SW SPECIAL ORDER WINDOWS</t>
  </si>
  <si>
    <t>10 HAND TOOLS</t>
  </si>
  <si>
    <t>15 POWER TOOLS &amp; ACCESSORIES</t>
  </si>
  <si>
    <t>20 FASTENERS</t>
  </si>
  <si>
    <t>25 HARDWARE</t>
  </si>
  <si>
    <t>35 ELECTRICAL</t>
  </si>
  <si>
    <t>40 PLUMBING</t>
  </si>
  <si>
    <t>45 HEATING &amp; COOLING</t>
  </si>
  <si>
    <t>50 HOUSEWARES</t>
  </si>
  <si>
    <t>65 AUTOMOTIVE</t>
  </si>
  <si>
    <t>70 SPORTING GOODS</t>
  </si>
  <si>
    <t>75 STORE SUPPLIES</t>
  </si>
  <si>
    <t>76 IMPULSE &amp; VARIETY</t>
  </si>
  <si>
    <t>DF DECK FASTNERS</t>
  </si>
  <si>
    <t>EMERY JENSEN NEW ITEMS</t>
  </si>
  <si>
    <t>SH SPECIAL ORDER HARDWARE</t>
  </si>
  <si>
    <t>XH HARDWARE DISCONTINUED</t>
  </si>
  <si>
    <t>30 PAINT &amp; SUNDRIES</t>
  </si>
  <si>
    <t>SP SPECIAL ORDER PAINT</t>
  </si>
  <si>
    <t>55 LAWN &amp; GARDEN</t>
  </si>
  <si>
    <t>58 PET &amp; WILD BIRD</t>
  </si>
  <si>
    <t>62 FARM &amp; RANCH</t>
  </si>
  <si>
    <t>68 OUTDOOR LIVING &amp; PATIO</t>
  </si>
  <si>
    <t>SE SEASCAPES</t>
  </si>
  <si>
    <t>SO SPECIAL ORDER OUTDOOR LIVING</t>
  </si>
  <si>
    <t>2024 GP%
ST1</t>
  </si>
  <si>
    <t>2024 GP%
ST2</t>
  </si>
  <si>
    <t>2024 GP%
ST7</t>
  </si>
  <si>
    <t>2023 GP%
ST1</t>
  </si>
  <si>
    <t>2023 GP%
ST2</t>
  </si>
  <si>
    <t>2023 GP%
ST7</t>
  </si>
  <si>
    <t>GP$
2024 YTD</t>
  </si>
  <si>
    <t>GP%
2024 YTD</t>
  </si>
  <si>
    <t>GP%
YTD 2023</t>
  </si>
  <si>
    <t>Total Inv 2025</t>
  </si>
  <si>
    <t>ST1 Inv 2025</t>
  </si>
  <si>
    <t>ST2 Inv 2025</t>
  </si>
  <si>
    <t>ST7 Inv 2025</t>
  </si>
  <si>
    <t>2025 YTD Purchases</t>
  </si>
  <si>
    <t>2025 YTD Sales at Cost</t>
  </si>
  <si>
    <t>2025 YTD Sales at Retail</t>
  </si>
  <si>
    <t>2025 GP$</t>
  </si>
  <si>
    <t>2025 GP%</t>
  </si>
  <si>
    <t>2025 GP%
ST1</t>
  </si>
  <si>
    <t>2025 GP%
ST2</t>
  </si>
  <si>
    <t>2025 GP%
ST7</t>
  </si>
  <si>
    <t>2025 inventory decrease</t>
  </si>
  <si>
    <t>today's inventory</t>
  </si>
  <si>
    <t xml:space="preserve"> inventory budget</t>
  </si>
  <si>
    <t>incls 22k special order</t>
  </si>
  <si>
    <t>Ben Moore Credits</t>
  </si>
  <si>
    <t>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</si>
  <si>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</si>
  <si>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</si>
  <si>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</si>
  <si>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</si>
  <si>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</si>
  <si>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</si>
  <si>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</si>
  <si>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</si>
  <si>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December</t>
  </si>
  <si>
    <t>September</t>
  </si>
  <si>
    <t>October</t>
  </si>
  <si>
    <t>November</t>
  </si>
  <si>
    <t>TOTALS WITH CREDITS:</t>
  </si>
  <si>
    <t>XO DISCONTINUED OUTDOOR LIVING</t>
  </si>
  <si>
    <t>Inventory At Cost
12/31/2025</t>
  </si>
  <si>
    <t>YTD Purchases At Cost
12/31/2025</t>
  </si>
  <si>
    <t>YTD Sales At Cost
12/31/2025</t>
  </si>
  <si>
    <t>YTD Sales At Retail
12/31/2025</t>
  </si>
  <si>
    <t>Inventory At Cost
12/31/2024</t>
  </si>
  <si>
    <t>YTD Purchases At Cost
12/31/2024</t>
  </si>
  <si>
    <t>YTD Sales At Cost
12/31/2024</t>
  </si>
  <si>
    <t>YTD Sales At Retail
12/31/2024</t>
  </si>
  <si>
    <t>Inventory At Cost
12/31/2023</t>
  </si>
  <si>
    <t>YTD Purchases At Cost
12/31/2023</t>
  </si>
  <si>
    <t>YTD Sales At Cost
12/31/2023</t>
  </si>
  <si>
    <t>YTD Sales At Retail
12/31/2023</t>
  </si>
  <si>
    <t>December 2025 - Grand Summary</t>
  </si>
  <si>
    <t>XP DISCONTINUED PAINT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</si>
</sst>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\$#,##0.00"/>
    <numFmt numFmtId="165" formatCode="0.0"/>
    <numFmt numFmtId="166" formatCode="&quot;$&quot;#,##0.00"/>
    <numFmt numFmtId="167" formatCode="0.0%"/>
  </numFmts>
  <fonts count="14" x14ac:knownFonts="1">
    <font>
      <sz val="11"/>
      <color theme="1"/>
      <name val="Calibri"/>
      <family val="2"/>
      <scheme val="minor"/>
    </font>
    <font>
      <sz val="9"/>
      <color rgb="FF000000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Segoe UI"/>
      <family val="2"/>
    </font>
    <font>
      <b/>
      <sz val="9"/>
      <name val="Segoe UI"/>
      <family val="2"/>
    </font>
    <font>
      <sz val="9"/>
      <name val="Segoe UI"/>
      <family val="2"/>
    </font>
    <font>
      <b/>
      <sz val="10"/>
      <color theme="1"/>
      <name val="Segoe UI"/>
      <family val="2"/>
    </font>
    <font>
      <sz val="10"/>
      <color theme="1"/>
      <name val="Calibri"/>
      <family val="2"/>
      <scheme val="minor"/>
    </font>
    <font>
      <b/>
      <sz val="11"/>
      <color theme="1"/>
      <name val="Segoe UI"/>
      <family val="2"/>
    </font>
    <font>
      <sz val="11"/>
      <color theme="1"/>
      <name val="Segoe UI"/>
      <family val="2"/>
    </font>
    <font>
      <sz val="10"/>
      <color theme="1"/>
      <name val="Segoe UI"/>
      <family val="2"/>
    </font>
    <font>
      <sz val="10"/>
      <name val="Arial"/>
    </font>
    <font>
      <b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2" fillId="0" borderId="0" applyAlignment="0">
      <alignment vertical="top" wrapText="1"/>
      <protection locked="0"/>
    </xf>
  </cellStyleXfs>
  <cellXfs count="16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164" fontId="0" fillId="0" borderId="4" xfId="0" applyNumberFormat="1" applyBorder="1" applyAlignment="1">
      <alignment horizont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right" vertical="center"/>
    </xf>
    <xf numFmtId="166" fontId="11" fillId="0" borderId="4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top" wrapText="1"/>
    </xf>
    <xf numFmtId="0" fontId="6" fillId="2" borderId="10" xfId="0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0" fontId="6" fillId="4" borderId="6" xfId="0" applyFont="1" applyFill="1" applyBorder="1" applyAlignment="1">
      <alignment horizontal="center" vertical="top" wrapText="1"/>
    </xf>
    <xf numFmtId="0" fontId="6" fillId="4" borderId="1" xfId="0" applyFont="1" applyFill="1" applyBorder="1" applyAlignment="1">
      <alignment horizontal="center" vertical="top" wrapText="1"/>
    </xf>
    <xf numFmtId="0" fontId="6" fillId="5" borderId="6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 wrapText="1"/>
    </xf>
    <xf numFmtId="0" fontId="6" fillId="6" borderId="6" xfId="0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 wrapText="1"/>
    </xf>
    <xf numFmtId="0" fontId="6" fillId="7" borderId="6" xfId="0" applyFont="1" applyFill="1" applyBorder="1" applyAlignment="1">
      <alignment horizontal="center" vertical="top" wrapText="1"/>
    </xf>
    <xf numFmtId="0" fontId="6" fillId="7" borderId="1" xfId="0" applyFont="1" applyFill="1" applyBorder="1" applyAlignment="1">
      <alignment horizontal="center" vertical="top" wrapText="1"/>
    </xf>
    <xf numFmtId="0" fontId="6" fillId="8" borderId="6" xfId="0" applyFont="1" applyFill="1" applyBorder="1" applyAlignment="1">
      <alignment horizontal="center" vertical="top" wrapText="1"/>
    </xf>
    <xf numFmtId="0" fontId="6" fillId="8" borderId="1" xfId="0" applyFont="1" applyFill="1" applyBorder="1" applyAlignment="1">
      <alignment horizontal="center" vertical="top" wrapText="1"/>
    </xf>
    <xf numFmtId="0" fontId="6" fillId="4" borderId="8" xfId="0" applyFont="1" applyFill="1" applyBorder="1" applyAlignment="1">
      <alignment horizontal="center" vertical="top" wrapText="1"/>
    </xf>
    <xf numFmtId="164" fontId="1" fillId="9" borderId="1" xfId="0" applyNumberFormat="1" applyFont="1" applyFill="1" applyBorder="1" applyAlignment="1">
      <alignment horizontal="center"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1" fillId="4" borderId="1" xfId="0" applyNumberFormat="1" applyFont="1" applyFill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164" fontId="1" fillId="7" borderId="1" xfId="0" applyNumberFormat="1" applyFont="1" applyFill="1" applyBorder="1" applyAlignment="1">
      <alignment horizontal="center" vertical="top" wrapText="1"/>
    </xf>
    <xf numFmtId="164" fontId="1" fillId="8" borderId="1" xfId="0" applyNumberFormat="1" applyFont="1" applyFill="1" applyBorder="1" applyAlignment="1">
      <alignment horizontal="center" vertical="top" wrapText="1"/>
    </xf>
    <xf numFmtId="164" fontId="1" fillId="4" borderId="2" xfId="0" applyNumberFormat="1" applyFont="1" applyFill="1" applyBorder="1" applyAlignment="1">
      <alignment horizontal="center" vertical="top" wrapText="1"/>
    </xf>
    <xf numFmtId="0" fontId="6" fillId="9" borderId="9" xfId="0" applyFont="1" applyFill="1" applyBorder="1" applyAlignment="1">
      <alignment horizontal="center" vertical="top" wrapText="1"/>
    </xf>
    <xf numFmtId="0" fontId="6" fillId="9" borderId="10" xfId="0" applyFont="1" applyFill="1" applyBorder="1" applyAlignment="1">
      <alignment horizontal="center" vertical="top" wrapText="1"/>
    </xf>
    <xf numFmtId="0" fontId="6" fillId="9" borderId="6" xfId="0" applyFont="1" applyFill="1" applyBorder="1" applyAlignment="1">
      <alignment horizontal="center" vertical="top" wrapText="1"/>
    </xf>
    <xf numFmtId="0" fontId="6" fillId="9" borderId="1" xfId="0" applyFont="1" applyFill="1" applyBorder="1" applyAlignment="1">
      <alignment horizontal="center" vertical="top" wrapText="1"/>
    </xf>
    <xf numFmtId="0" fontId="6" fillId="3" borderId="8" xfId="0" applyFont="1" applyFill="1" applyBorder="1" applyAlignment="1">
      <alignment horizontal="center" vertical="top" wrapText="1"/>
    </xf>
    <xf numFmtId="0" fontId="11" fillId="3" borderId="6" xfId="0" applyFont="1" applyFill="1" applyBorder="1" applyAlignment="1">
      <alignment horizontal="center" vertical="center"/>
    </xf>
    <xf numFmtId="166" fontId="11" fillId="3" borderId="1" xfId="0" applyNumberFormat="1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166" fontId="11" fillId="4" borderId="1" xfId="0" applyNumberFormat="1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166" fontId="11" fillId="5" borderId="1" xfId="0" applyNumberFormat="1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166" fontId="11" fillId="6" borderId="1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center" vertical="top" wrapText="1"/>
    </xf>
    <xf numFmtId="2" fontId="11" fillId="3" borderId="1" xfId="0" applyNumberFormat="1" applyFont="1" applyFill="1" applyBorder="1" applyAlignment="1">
      <alignment horizontal="center" vertical="center"/>
    </xf>
    <xf numFmtId="2" fontId="11" fillId="4" borderId="1" xfId="0" applyNumberFormat="1" applyFont="1" applyFill="1" applyBorder="1" applyAlignment="1">
      <alignment horizontal="center" vertical="center"/>
    </xf>
    <xf numFmtId="2" fontId="11" fillId="5" borderId="1" xfId="0" applyNumberFormat="1" applyFont="1" applyFill="1" applyBorder="1" applyAlignment="1">
      <alignment horizontal="center" vertical="center"/>
    </xf>
    <xf numFmtId="2" fontId="11" fillId="6" borderId="1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11" fillId="7" borderId="11" xfId="0" applyFont="1" applyFill="1" applyBorder="1" applyAlignment="1">
      <alignment horizontal="center" vertical="center"/>
    </xf>
    <xf numFmtId="166" fontId="11" fillId="7" borderId="2" xfId="0" applyNumberFormat="1" applyFont="1" applyFill="1" applyBorder="1" applyAlignment="1">
      <alignment horizontal="center" vertical="center"/>
    </xf>
    <xf numFmtId="2" fontId="11" fillId="7" borderId="2" xfId="0" applyNumberFormat="1" applyFont="1" applyFill="1" applyBorder="1" applyAlignment="1">
      <alignment horizontal="center" vertical="center"/>
    </xf>
    <xf numFmtId="2" fontId="11" fillId="0" borderId="4" xfId="0" applyNumberFormat="1" applyFont="1" applyBorder="1" applyAlignment="1">
      <alignment horizontal="center" vertical="center"/>
    </xf>
    <xf numFmtId="164" fontId="0" fillId="0" borderId="5" xfId="0" applyNumberFormat="1" applyBorder="1" applyAlignment="1">
      <alignment horizontal="center" wrapText="1"/>
    </xf>
    <xf numFmtId="0" fontId="6" fillId="4" borderId="2" xfId="0" applyFont="1" applyFill="1" applyBorder="1" applyAlignment="1">
      <alignment horizontal="center" vertical="top" wrapText="1"/>
    </xf>
    <xf numFmtId="165" fontId="8" fillId="3" borderId="2" xfId="0" applyNumberFormat="1" applyFont="1" applyFill="1" applyBorder="1" applyAlignment="1">
      <alignment horizontal="center" vertical="center"/>
    </xf>
    <xf numFmtId="165" fontId="8" fillId="4" borderId="2" xfId="0" applyNumberFormat="1" applyFont="1" applyFill="1" applyBorder="1" applyAlignment="1">
      <alignment horizontal="center" vertical="center"/>
    </xf>
    <xf numFmtId="165" fontId="8" fillId="9" borderId="1" xfId="0" applyNumberFormat="1" applyFont="1" applyFill="1" applyBorder="1" applyAlignment="1">
      <alignment horizontal="center" vertical="center"/>
    </xf>
    <xf numFmtId="165" fontId="8" fillId="2" borderId="1" xfId="0" applyNumberFormat="1" applyFont="1" applyFill="1" applyBorder="1" applyAlignment="1">
      <alignment horizontal="center" vertical="center"/>
    </xf>
    <xf numFmtId="165" fontId="8" fillId="3" borderId="1" xfId="0" applyNumberFormat="1" applyFont="1" applyFill="1" applyBorder="1" applyAlignment="1">
      <alignment horizontal="center" vertical="center"/>
    </xf>
    <xf numFmtId="165" fontId="8" fillId="4" borderId="1" xfId="0" applyNumberFormat="1" applyFont="1" applyFill="1" applyBorder="1" applyAlignment="1">
      <alignment horizontal="center" vertical="center"/>
    </xf>
    <xf numFmtId="165" fontId="8" fillId="5" borderId="1" xfId="0" applyNumberFormat="1" applyFont="1" applyFill="1" applyBorder="1" applyAlignment="1">
      <alignment horizontal="center" vertical="center"/>
    </xf>
    <xf numFmtId="165" fontId="8" fillId="6" borderId="1" xfId="0" applyNumberFormat="1" applyFont="1" applyFill="1" applyBorder="1" applyAlignment="1">
      <alignment horizontal="center" vertical="center"/>
    </xf>
    <xf numFmtId="165" fontId="8" fillId="7" borderId="1" xfId="0" applyNumberFormat="1" applyFont="1" applyFill="1" applyBorder="1" applyAlignment="1">
      <alignment horizontal="center" vertical="center"/>
    </xf>
    <xf numFmtId="165" fontId="8" fillId="8" borderId="1" xfId="0" applyNumberFormat="1" applyFon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top" wrapText="1"/>
    </xf>
    <xf numFmtId="0" fontId="3" fillId="0" borderId="0" xfId="0" applyFont="1"/>
    <xf numFmtId="167" fontId="5" fillId="0" borderId="1" xfId="1" applyNumberFormat="1" applyFont="1" applyFill="1" applyBorder="1" applyAlignment="1">
      <alignment horizontal="center" vertical="center" wrapText="1"/>
    </xf>
    <xf numFmtId="167" fontId="0" fillId="0" borderId="0" xfId="1" applyNumberFormat="1" applyFont="1"/>
    <xf numFmtId="164" fontId="1" fillId="2" borderId="1" xfId="0" applyNumberFormat="1" applyFont="1" applyFill="1" applyBorder="1" applyAlignment="1">
      <alignment horizontal="center" vertical="top" wrapText="1"/>
    </xf>
    <xf numFmtId="167" fontId="1" fillId="2" borderId="1" xfId="1" applyNumberFormat="1" applyFont="1" applyFill="1" applyBorder="1" applyAlignment="1">
      <alignment horizontal="center" vertical="top" wrapText="1"/>
    </xf>
    <xf numFmtId="167" fontId="1" fillId="3" borderId="1" xfId="1" applyNumberFormat="1" applyFont="1" applyFill="1" applyBorder="1" applyAlignment="1">
      <alignment horizontal="center" vertical="top" wrapText="1"/>
    </xf>
    <xf numFmtId="167" fontId="1" fillId="4" borderId="1" xfId="1" applyNumberFormat="1" applyFont="1" applyFill="1" applyBorder="1" applyAlignment="1">
      <alignment horizontal="center" vertical="top" wrapText="1"/>
    </xf>
    <xf numFmtId="167" fontId="1" fillId="5" borderId="1" xfId="1" applyNumberFormat="1" applyFont="1" applyFill="1" applyBorder="1" applyAlignment="1">
      <alignment horizontal="center" vertical="top" wrapText="1"/>
    </xf>
    <xf numFmtId="167" fontId="1" fillId="6" borderId="1" xfId="1" applyNumberFormat="1" applyFont="1" applyFill="1" applyBorder="1" applyAlignment="1">
      <alignment horizontal="center" vertical="top" wrapText="1"/>
    </xf>
    <xf numFmtId="167" fontId="1" fillId="7" borderId="1" xfId="1" applyNumberFormat="1" applyFont="1" applyFill="1" applyBorder="1" applyAlignment="1">
      <alignment horizontal="center" vertical="top" wrapText="1"/>
    </xf>
    <xf numFmtId="167" fontId="1" fillId="8" borderId="1" xfId="1" applyNumberFormat="1" applyFont="1" applyFill="1" applyBorder="1" applyAlignment="1">
      <alignment horizontal="center" vertical="top" wrapText="1"/>
    </xf>
    <xf numFmtId="0" fontId="3" fillId="0" borderId="14" xfId="0" applyFont="1" applyBorder="1" applyAlignment="1">
      <alignment horizontal="right" wrapText="1"/>
    </xf>
    <xf numFmtId="167" fontId="1" fillId="4" borderId="2" xfId="1" applyNumberFormat="1" applyFont="1" applyFill="1" applyBorder="1" applyAlignment="1">
      <alignment horizontal="center" vertical="top" wrapText="1"/>
    </xf>
    <xf numFmtId="2" fontId="8" fillId="0" borderId="12" xfId="0" applyNumberFormat="1" applyFont="1" applyBorder="1" applyAlignment="1">
      <alignment horizontal="center" vertical="center"/>
    </xf>
    <xf numFmtId="167" fontId="0" fillId="0" borderId="5" xfId="1" applyNumberFormat="1" applyFont="1" applyBorder="1" applyAlignment="1">
      <alignment horizontal="center" wrapText="1"/>
    </xf>
    <xf numFmtId="167" fontId="1" fillId="9" borderId="1" xfId="1" applyNumberFormat="1" applyFont="1" applyFill="1" applyBorder="1" applyAlignment="1">
      <alignment horizontal="center" vertical="top" wrapText="1"/>
    </xf>
    <xf numFmtId="167" fontId="1" fillId="3" borderId="2" xfId="1" applyNumberFormat="1" applyFont="1" applyFill="1" applyBorder="1" applyAlignment="1">
      <alignment horizontal="center" vertical="top" wrapText="1"/>
    </xf>
    <xf numFmtId="0" fontId="11" fillId="9" borderId="9" xfId="0" applyFont="1" applyFill="1" applyBorder="1" applyAlignment="1">
      <alignment horizontal="center" vertical="center"/>
    </xf>
    <xf numFmtId="166" fontId="11" fillId="9" borderId="10" xfId="0" applyNumberFormat="1" applyFont="1" applyFill="1" applyBorder="1" applyAlignment="1">
      <alignment horizontal="center" vertical="center"/>
    </xf>
    <xf numFmtId="2" fontId="11" fillId="9" borderId="10" xfId="0" applyNumberFormat="1" applyFont="1" applyFill="1" applyBorder="1" applyAlignment="1">
      <alignment horizontal="center" vertical="center"/>
    </xf>
    <xf numFmtId="0" fontId="11" fillId="6" borderId="11" xfId="0" applyFont="1" applyFill="1" applyBorder="1" applyAlignment="1">
      <alignment horizontal="center" vertical="center"/>
    </xf>
    <xf numFmtId="166" fontId="11" fillId="6" borderId="2" xfId="0" applyNumberFormat="1" applyFont="1" applyFill="1" applyBorder="1" applyAlignment="1">
      <alignment horizontal="center" vertical="center"/>
    </xf>
    <xf numFmtId="2" fontId="11" fillId="6" borderId="2" xfId="0" applyNumberFormat="1" applyFont="1" applyFill="1" applyBorder="1" applyAlignment="1">
      <alignment horizontal="center" vertical="center"/>
    </xf>
    <xf numFmtId="166" fontId="11" fillId="7" borderId="1" xfId="0" applyNumberFormat="1" applyFont="1" applyFill="1" applyBorder="1" applyAlignment="1">
      <alignment horizontal="center" vertical="center"/>
    </xf>
    <xf numFmtId="2" fontId="11" fillId="7" borderId="1" xfId="0" applyNumberFormat="1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167" fontId="11" fillId="9" borderId="10" xfId="1" applyNumberFormat="1" applyFont="1" applyFill="1" applyBorder="1" applyAlignment="1">
      <alignment horizontal="center" vertical="center"/>
    </xf>
    <xf numFmtId="167" fontId="11" fillId="3" borderId="1" xfId="1" applyNumberFormat="1" applyFont="1" applyFill="1" applyBorder="1" applyAlignment="1">
      <alignment horizontal="center" vertical="center"/>
    </xf>
    <xf numFmtId="167" fontId="11" fillId="4" borderId="1" xfId="1" applyNumberFormat="1" applyFont="1" applyFill="1" applyBorder="1" applyAlignment="1">
      <alignment horizontal="center" vertical="center"/>
    </xf>
    <xf numFmtId="167" fontId="11" fillId="5" borderId="1" xfId="1" applyNumberFormat="1" applyFont="1" applyFill="1" applyBorder="1" applyAlignment="1">
      <alignment horizontal="center" vertical="center"/>
    </xf>
    <xf numFmtId="167" fontId="11" fillId="6" borderId="1" xfId="1" applyNumberFormat="1" applyFont="1" applyFill="1" applyBorder="1" applyAlignment="1">
      <alignment horizontal="center" vertical="center"/>
    </xf>
    <xf numFmtId="167" fontId="11" fillId="6" borderId="2" xfId="1" applyNumberFormat="1" applyFont="1" applyFill="1" applyBorder="1" applyAlignment="1">
      <alignment horizontal="center" vertical="center"/>
    </xf>
    <xf numFmtId="167" fontId="11" fillId="7" borderId="2" xfId="1" applyNumberFormat="1" applyFont="1" applyFill="1" applyBorder="1" applyAlignment="1">
      <alignment horizontal="center" vertical="center"/>
    </xf>
    <xf numFmtId="167" fontId="11" fillId="7" borderId="1" xfId="1" applyNumberFormat="1" applyFont="1" applyFill="1" applyBorder="1" applyAlignment="1">
      <alignment horizontal="center" vertical="center"/>
    </xf>
    <xf numFmtId="167" fontId="11" fillId="0" borderId="4" xfId="1" applyNumberFormat="1" applyFont="1" applyBorder="1" applyAlignment="1">
      <alignment horizontal="center" vertical="center"/>
    </xf>
    <xf numFmtId="167" fontId="11" fillId="9" borderId="15" xfId="1" applyNumberFormat="1" applyFont="1" applyFill="1" applyBorder="1" applyAlignment="1">
      <alignment horizontal="center" vertical="center"/>
    </xf>
    <xf numFmtId="167" fontId="11" fillId="3" borderId="7" xfId="1" applyNumberFormat="1" applyFont="1" applyFill="1" applyBorder="1" applyAlignment="1">
      <alignment horizontal="center" vertical="center"/>
    </xf>
    <xf numFmtId="166" fontId="11" fillId="9" borderId="10" xfId="1" applyNumberFormat="1" applyFont="1" applyFill="1" applyBorder="1" applyAlignment="1">
      <alignment horizontal="center" vertical="center"/>
    </xf>
    <xf numFmtId="166" fontId="11" fillId="3" borderId="1" xfId="1" applyNumberFormat="1" applyFont="1" applyFill="1" applyBorder="1" applyAlignment="1">
      <alignment horizontal="center" vertical="center"/>
    </xf>
    <xf numFmtId="166" fontId="11" fillId="4" borderId="1" xfId="1" applyNumberFormat="1" applyFont="1" applyFill="1" applyBorder="1" applyAlignment="1">
      <alignment horizontal="center" vertical="center"/>
    </xf>
    <xf numFmtId="166" fontId="11" fillId="5" borderId="1" xfId="1" applyNumberFormat="1" applyFont="1" applyFill="1" applyBorder="1" applyAlignment="1">
      <alignment horizontal="center" vertical="center"/>
    </xf>
    <xf numFmtId="166" fontId="11" fillId="6" borderId="1" xfId="1" applyNumberFormat="1" applyFont="1" applyFill="1" applyBorder="1" applyAlignment="1">
      <alignment horizontal="center" vertical="center"/>
    </xf>
    <xf numFmtId="166" fontId="11" fillId="6" borderId="2" xfId="1" applyNumberFormat="1" applyFont="1" applyFill="1" applyBorder="1" applyAlignment="1">
      <alignment horizontal="center" vertical="center"/>
    </xf>
    <xf numFmtId="166" fontId="11" fillId="7" borderId="2" xfId="1" applyNumberFormat="1" applyFont="1" applyFill="1" applyBorder="1" applyAlignment="1">
      <alignment horizontal="center" vertical="center"/>
    </xf>
    <xf numFmtId="166" fontId="11" fillId="7" borderId="1" xfId="1" applyNumberFormat="1" applyFont="1" applyFill="1" applyBorder="1" applyAlignment="1">
      <alignment horizontal="center" vertical="center"/>
    </xf>
    <xf numFmtId="166" fontId="11" fillId="0" borderId="4" xfId="1" applyNumberFormat="1" applyFont="1" applyBorder="1" applyAlignment="1">
      <alignment horizontal="center" vertical="center"/>
    </xf>
    <xf numFmtId="0" fontId="4" fillId="10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67" fontId="11" fillId="9" borderId="16" xfId="1" applyNumberFormat="1" applyFont="1" applyFill="1" applyBorder="1" applyAlignment="1">
      <alignment horizontal="center" vertical="center"/>
    </xf>
    <xf numFmtId="167" fontId="11" fillId="3" borderId="17" xfId="1" applyNumberFormat="1" applyFont="1" applyFill="1" applyBorder="1" applyAlignment="1">
      <alignment horizontal="center" vertical="center"/>
    </xf>
    <xf numFmtId="167" fontId="11" fillId="9" borderId="1" xfId="1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167" fontId="11" fillId="9" borderId="7" xfId="1" applyNumberFormat="1" applyFont="1" applyFill="1" applyBorder="1" applyAlignment="1">
      <alignment horizontal="center" vertical="center"/>
    </xf>
    <xf numFmtId="167" fontId="11" fillId="4" borderId="7" xfId="1" applyNumberFormat="1" applyFont="1" applyFill="1" applyBorder="1" applyAlignment="1">
      <alignment horizontal="center" vertical="center"/>
    </xf>
    <xf numFmtId="167" fontId="11" fillId="5" borderId="7" xfId="1" applyNumberFormat="1" applyFont="1" applyFill="1" applyBorder="1" applyAlignment="1">
      <alignment horizontal="center" vertical="center"/>
    </xf>
    <xf numFmtId="167" fontId="11" fillId="6" borderId="7" xfId="1" applyNumberFormat="1" applyFont="1" applyFill="1" applyBorder="1" applyAlignment="1">
      <alignment horizontal="center" vertical="center"/>
    </xf>
    <xf numFmtId="167" fontId="11" fillId="6" borderId="20" xfId="1" applyNumberFormat="1" applyFont="1" applyFill="1" applyBorder="1" applyAlignment="1">
      <alignment horizontal="center" vertical="center"/>
    </xf>
    <xf numFmtId="167" fontId="11" fillId="7" borderId="20" xfId="1" applyNumberFormat="1" applyFont="1" applyFill="1" applyBorder="1" applyAlignment="1">
      <alignment horizontal="center" vertical="center"/>
    </xf>
    <xf numFmtId="167" fontId="11" fillId="7" borderId="7" xfId="1" applyNumberFormat="1" applyFont="1" applyFill="1" applyBorder="1" applyAlignment="1">
      <alignment horizontal="center" vertical="center"/>
    </xf>
    <xf numFmtId="167" fontId="11" fillId="0" borderId="5" xfId="1" applyNumberFormat="1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4" fontId="10" fillId="0" borderId="0" xfId="2" applyFont="1" applyAlignment="1">
      <alignment horizontal="center"/>
    </xf>
    <xf numFmtId="44" fontId="0" fillId="0" borderId="0" xfId="2" applyFont="1"/>
    <xf numFmtId="166" fontId="0" fillId="0" borderId="0" xfId="0" applyNumberFormat="1"/>
    <xf numFmtId="0" fontId="4" fillId="0" borderId="21" xfId="0" applyFont="1" applyBorder="1" applyAlignment="1">
      <alignment horizontal="center" vertical="center" wrapText="1"/>
    </xf>
    <xf numFmtId="166" fontId="10" fillId="0" borderId="0" xfId="0" applyNumberFormat="1" applyFont="1" applyAlignment="1">
      <alignment horizontal="center"/>
    </xf>
    <xf numFmtId="166" fontId="0" fillId="0" borderId="0" xfId="2" applyNumberFormat="1" applyFont="1"/>
    <xf numFmtId="167" fontId="0" fillId="0" borderId="0" xfId="1" applyNumberFormat="1" applyFont="1" applyAlignment="1">
      <alignment horizontal="center"/>
    </xf>
    <xf numFmtId="0" fontId="13" fillId="0" borderId="25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wrapText="1"/>
    </xf>
    <xf numFmtId="167" fontId="13" fillId="0" borderId="14" xfId="1" applyNumberFormat="1" applyFont="1" applyBorder="1" applyAlignment="1">
      <alignment horizontal="center"/>
    </xf>
    <xf numFmtId="166" fontId="8" fillId="0" borderId="26" xfId="0" applyNumberFormat="1" applyFont="1" applyBorder="1" applyAlignment="1">
      <alignment horizontal="center" vertical="center"/>
    </xf>
    <xf numFmtId="166" fontId="8" fillId="0" borderId="24" xfId="0" applyNumberFormat="1" applyFont="1" applyBorder="1" applyAlignment="1">
      <alignment horizontal="center" vertical="center"/>
    </xf>
    <xf numFmtId="166" fontId="8" fillId="0" borderId="10" xfId="0" applyNumberFormat="1" applyFont="1" applyBorder="1" applyAlignment="1">
      <alignment horizontal="center" vertical="center" wrapText="1"/>
    </xf>
    <xf numFmtId="166" fontId="8" fillId="0" borderId="10" xfId="1" applyNumberFormat="1" applyFont="1" applyBorder="1" applyAlignment="1">
      <alignment horizontal="center" vertical="center"/>
    </xf>
    <xf numFmtId="166" fontId="8" fillId="0" borderId="10" xfId="0" applyNumberFormat="1" applyFont="1" applyBorder="1" applyAlignment="1">
      <alignment horizontal="center" vertical="center"/>
    </xf>
    <xf numFmtId="166" fontId="8" fillId="0" borderId="15" xfId="1" applyNumberFormat="1" applyFont="1" applyBorder="1" applyAlignment="1">
      <alignment horizontal="center" vertical="center"/>
    </xf>
    <xf numFmtId="166" fontId="8" fillId="0" borderId="22" xfId="0" applyNumberFormat="1" applyFont="1" applyBorder="1" applyAlignment="1">
      <alignment horizontal="center" vertical="center" wrapText="1"/>
    </xf>
    <xf numFmtId="166" fontId="8" fillId="0" borderId="22" xfId="1" applyNumberFormat="1" applyFont="1" applyBorder="1" applyAlignment="1">
      <alignment horizontal="center" vertical="center"/>
    </xf>
    <xf numFmtId="166" fontId="8" fillId="0" borderId="22" xfId="0" applyNumberFormat="1" applyFont="1" applyBorder="1" applyAlignment="1">
      <alignment horizontal="center" vertical="center"/>
    </xf>
    <xf numFmtId="166" fontId="8" fillId="0" borderId="23" xfId="1" applyNumberFormat="1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top" wrapText="1"/>
    </xf>
  </cellXfs>
  <cellStyles count="4">
    <cellStyle name="Currency" xfId="2" builtinId="4"/>
    <cellStyle name="Normal" xfId="0" builtinId="0"/>
    <cellStyle name="Normal 2" xfId="3" xr:uid="{3594BC55-16D3-4190-B03B-F28496DD644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0.xml.rels><?xml version="1.0" encoding="UTF-8" standalone="yes"?>
<Relationships xmlns="http://schemas.openxmlformats.org/package/2006/relationships"><Relationship Id="rId2" Type="http://schemas.microsoft.com/office/2011/relationships/chartColorStyle" Target="colors80.xml"/><Relationship Id="rId1" Type="http://schemas.microsoft.com/office/2011/relationships/chartStyle" Target="style80.xml"/></Relationships>
</file>

<file path=xl/charts/_rels/chart81.xml.rels><?xml version="1.0" encoding="UTF-8" standalone="yes"?>
<Relationships xmlns="http://schemas.openxmlformats.org/package/2006/relationships"><Relationship Id="rId2" Type="http://schemas.microsoft.com/office/2011/relationships/chartColorStyle" Target="colors81.xml"/><Relationship Id="rId1" Type="http://schemas.microsoft.com/office/2011/relationships/chartStyle" Target="style8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All YTD Sales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0087675844495818E-2"/>
          <c:y val="6.1160156108113352E-2"/>
          <c:w val="0.91424274815064155"/>
          <c:h val="0.81836580029604089"/>
        </c:manualLayout>
      </c:layout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'December 2025 -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'December 2025 - Dashboard'!$I$3:$I$21</c:f>
              <c:numCache>
                <c:formatCode>"$"#,##0.00</c:formatCode>
                <c:ptCount val="19"/>
                <c:pt idx="0">
                  <c:v>2255485.9900000002</c:v>
                </c:pt>
                <c:pt idx="1">
                  <c:v>2255485.9900000002</c:v>
                </c:pt>
                <c:pt idx="2">
                  <c:v>0</c:v>
                </c:pt>
                <c:pt idx="3">
                  <c:v>6114313.2999999998</c:v>
                </c:pt>
                <c:pt idx="4">
                  <c:v>4180646.3499999996</c:v>
                </c:pt>
                <c:pt idx="5">
                  <c:v>1933666.9500000002</c:v>
                </c:pt>
                <c:pt idx="6">
                  <c:v>2863591.5400000005</c:v>
                </c:pt>
                <c:pt idx="7">
                  <c:v>218799.16999999998</c:v>
                </c:pt>
                <c:pt idx="8">
                  <c:v>2644792.3700000006</c:v>
                </c:pt>
                <c:pt idx="9">
                  <c:v>2622468.649999999</c:v>
                </c:pt>
                <c:pt idx="10">
                  <c:v>2385384.9799999991</c:v>
                </c:pt>
                <c:pt idx="11">
                  <c:v>237083.66999999998</c:v>
                </c:pt>
                <c:pt idx="12">
                  <c:v>1804235.26</c:v>
                </c:pt>
                <c:pt idx="13">
                  <c:v>1662464.1500000001</c:v>
                </c:pt>
                <c:pt idx="14">
                  <c:v>39428.14</c:v>
                </c:pt>
                <c:pt idx="15">
                  <c:v>560767.92999999993</c:v>
                </c:pt>
                <c:pt idx="16">
                  <c:v>540427.74</c:v>
                </c:pt>
                <c:pt idx="17">
                  <c:v>20340.189999999999</c:v>
                </c:pt>
                <c:pt idx="18">
                  <c:v>16220862.669999998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8FD-4AF7-9123-3FC450C38175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'December 2025 -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'December 2025 - Dashboard'!$U$3:$U$21</c:f>
              <c:numCache>
                <c:formatCode>"$"#,##0.00</c:formatCode>
                <c:ptCount val="19"/>
                <c:pt idx="0">
                  <c:v>2495028.09</c:v>
                </c:pt>
                <c:pt idx="1">
                  <c:v>2495028.09</c:v>
                </c:pt>
                <c:pt idx="2">
                  <c:v>0</c:v>
                </c:pt>
                <c:pt idx="3">
                  <c:v>6219062.7300000014</c:v>
                </c:pt>
                <c:pt idx="4">
                  <c:v>4120624.1799999997</c:v>
                </c:pt>
                <c:pt idx="5">
                  <c:v>2098438.5499999998</c:v>
                </c:pt>
                <c:pt idx="6">
                  <c:v>2878744.2899999996</c:v>
                </c:pt>
                <c:pt idx="7">
                  <c:v>225015.69999999998</c:v>
                </c:pt>
                <c:pt idx="8">
                  <c:v>2653728.59</c:v>
                </c:pt>
                <c:pt idx="9">
                  <c:v>2548880.5699999994</c:v>
                </c:pt>
                <c:pt idx="10">
                  <c:v>2357736.2999999993</c:v>
                </c:pt>
                <c:pt idx="11">
                  <c:v>191144.27000000002</c:v>
                </c:pt>
                <c:pt idx="12">
                  <c:v>1567108.6500000001</c:v>
                </c:pt>
                <c:pt idx="13">
                  <c:v>1514055.4400000002</c:v>
                </c:pt>
                <c:pt idx="14">
                  <c:v>82.52</c:v>
                </c:pt>
                <c:pt idx="15">
                  <c:v>664943.82999999996</c:v>
                </c:pt>
                <c:pt idx="16">
                  <c:v>610400.28</c:v>
                </c:pt>
                <c:pt idx="17">
                  <c:v>54543.55</c:v>
                </c:pt>
                <c:pt idx="18">
                  <c:v>16373768.16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8FD-4AF7-9123-3FC450C38175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'December 2025 -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'December 2025 - Dashboard'!$AH$3:$AH$21</c:f>
              <c:numCache>
                <c:formatCode>"$"#,##0.00</c:formatCode>
                <c:ptCount val="19"/>
                <c:pt idx="0">
                  <c:v>2490453.0300000003</c:v>
                </c:pt>
                <c:pt idx="1">
                  <c:v>2490453.0300000003</c:v>
                </c:pt>
                <c:pt idx="2">
                  <c:v>0</c:v>
                </c:pt>
                <c:pt idx="3">
                  <c:v>5986782.0600000005</c:v>
                </c:pt>
                <c:pt idx="4">
                  <c:v>4348921.8000000007</c:v>
                </c:pt>
                <c:pt idx="5">
                  <c:v>1637860.26</c:v>
                </c:pt>
                <c:pt idx="6">
                  <c:v>2854819.3899999992</c:v>
                </c:pt>
                <c:pt idx="7">
                  <c:v>260805.63</c:v>
                </c:pt>
                <c:pt idx="8">
                  <c:v>2594013.7599999998</c:v>
                </c:pt>
                <c:pt idx="9">
                  <c:v>2610471.7400000007</c:v>
                </c:pt>
                <c:pt idx="10">
                  <c:v>2415711.4300000006</c:v>
                </c:pt>
                <c:pt idx="11">
                  <c:v>194760.31</c:v>
                </c:pt>
                <c:pt idx="12">
                  <c:v>1466426.34</c:v>
                </c:pt>
                <c:pt idx="13">
                  <c:v>1462157.24</c:v>
                </c:pt>
                <c:pt idx="14">
                  <c:v>7.03</c:v>
                </c:pt>
                <c:pt idx="15">
                  <c:v>855670.41</c:v>
                </c:pt>
                <c:pt idx="16">
                  <c:v>792321.22000000009</c:v>
                </c:pt>
                <c:pt idx="17">
                  <c:v>63349.19</c:v>
                </c:pt>
                <c:pt idx="18">
                  <c:v>16264622.969999999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8FD-4AF7-9123-3FC450C38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20162287"/>
        <c:axId val="1820163727"/>
      </c:barChart>
      <c:catAx>
        <c:axId val="18201622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0163727"/>
        <c:crosses val="autoZero"/>
        <c:auto val="1"/>
        <c:lblAlgn val="ctr"/>
        <c:lblOffset val="100"/>
        <c:noMultiLvlLbl val="0"/>
      </c:catAx>
      <c:valAx>
        <c:axId val="18201637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016228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8790094304466656"/>
          <c:y val="0.13807020364620579"/>
          <c:w val="0.209692381330982"/>
          <c:h val="4.64575723970792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Inv 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Stock'!$D$2,'BM -ALL- Stock'!$D$5,'BM -ALL- Stock'!$D$8,'BM -ALL- Stock'!$D$11,'BM -ALL- Stock'!$D$14,'BM -ALL- Stock'!$D$17,'BM -ALL- Stock'!$D$20,'BM -ALL- Stock'!$D$23,'BM -ALL- Stock'!$D$26,'BM -ALL- Stock'!$D$29)</c:f>
              <c:numCache>
                <c:formatCode>\$#,##0.00</c:formatCode>
                <c:ptCount val="10"/>
                <c:pt idx="0">
                  <c:v>0</c:v>
                </c:pt>
                <c:pt idx="1">
                  <c:v>72635.509999999995</c:v>
                </c:pt>
                <c:pt idx="2">
                  <c:v>3841.75</c:v>
                </c:pt>
                <c:pt idx="3">
                  <c:v>4849.8</c:v>
                </c:pt>
                <c:pt idx="4">
                  <c:v>2557.5100000000002</c:v>
                </c:pt>
                <c:pt idx="5">
                  <c:v>12273.95</c:v>
                </c:pt>
                <c:pt idx="6">
                  <c:v>18233.78</c:v>
                </c:pt>
                <c:pt idx="7">
                  <c:v>0</c:v>
                </c:pt>
                <c:pt idx="8">
                  <c:v>10180.93</c:v>
                </c:pt>
                <c:pt idx="9">
                  <c:v>13071.48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0B-457D-A22C-23F9CD555D67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Stock'!$J$2,'BM -ALL- Stock'!$J$5,'BM -ALL- Stock'!$J$8,'BM -ALL- Stock'!$J$11,'BM -ALL- Stock'!$J$14,'BM -ALL- Stock'!$J$17,'BM -ALL- Stock'!$J$20,'BM -ALL- Stock'!$J$23,'BM -ALL- Stock'!$J$26,'BM -ALL- Stock'!$J$29)</c:f>
              <c:numCache>
                <c:formatCode>\$#,##0.00</c:formatCode>
                <c:ptCount val="10"/>
                <c:pt idx="0">
                  <c:v>0</c:v>
                </c:pt>
                <c:pt idx="1">
                  <c:v>43290.39</c:v>
                </c:pt>
                <c:pt idx="2">
                  <c:v>2702.87</c:v>
                </c:pt>
                <c:pt idx="3">
                  <c:v>5401.11</c:v>
                </c:pt>
                <c:pt idx="4">
                  <c:v>1484.72</c:v>
                </c:pt>
                <c:pt idx="5">
                  <c:v>9946.2199999999993</c:v>
                </c:pt>
                <c:pt idx="6">
                  <c:v>12561.09</c:v>
                </c:pt>
                <c:pt idx="7">
                  <c:v>0</c:v>
                </c:pt>
                <c:pt idx="8">
                  <c:v>2509.1799999999998</c:v>
                </c:pt>
                <c:pt idx="9">
                  <c:v>12774.78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0B-457D-A22C-23F9CD555D67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Stock'!$Q$2,'BM -ALL- Stock'!$Q$5,'BM -ALL- Stock'!$Q$8,'BM -ALL- Stock'!$Q$11,'BM -ALL- Stock'!$Q$14,'BM -ALL- Stock'!$Q$17,'BM -ALL- Stock'!$Q$20,'BM -ALL- Stock'!$Q$23,'BM -ALL- Stock'!$Q$26,'BM -ALL- Stock'!$Q$29)</c:f>
              <c:numCache>
                <c:formatCode>\$#,##0.00</c:formatCode>
                <c:ptCount val="10"/>
                <c:pt idx="0">
                  <c:v>0</c:v>
                </c:pt>
                <c:pt idx="1">
                  <c:v>34126.28</c:v>
                </c:pt>
                <c:pt idx="2">
                  <c:v>4129.93</c:v>
                </c:pt>
                <c:pt idx="3">
                  <c:v>7439.79</c:v>
                </c:pt>
                <c:pt idx="4">
                  <c:v>2567.1</c:v>
                </c:pt>
                <c:pt idx="5">
                  <c:v>9976.02</c:v>
                </c:pt>
                <c:pt idx="6">
                  <c:v>6582.08</c:v>
                </c:pt>
                <c:pt idx="7">
                  <c:v>0</c:v>
                </c:pt>
                <c:pt idx="8">
                  <c:v>1953.73</c:v>
                </c:pt>
                <c:pt idx="9">
                  <c:v>8799.99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D0B-457D-A22C-23F9CD555D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Inv 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Stock'!$D$3,'BM -ALL- Stock'!$D$6,'BM -ALL- Stock'!$D$9,'BM -ALL- Stock'!$D$12,'BM -ALL- Stock'!$D$15,'BM -ALL- Stock'!$D$18,'BM -ALL- Stock'!$D$21,'BM -ALL- Stock'!$D$24,'BM -ALL- Stock'!$D$27,'BM -ALL- Stock'!$D$30)</c:f>
              <c:numCache>
                <c:formatCode>\$#,##0.00</c:formatCode>
                <c:ptCount val="10"/>
                <c:pt idx="0">
                  <c:v>17808.37</c:v>
                </c:pt>
                <c:pt idx="1">
                  <c:v>136685.16</c:v>
                </c:pt>
                <c:pt idx="2">
                  <c:v>24257.32</c:v>
                </c:pt>
                <c:pt idx="3">
                  <c:v>11008.01</c:v>
                </c:pt>
                <c:pt idx="4">
                  <c:v>4392.99</c:v>
                </c:pt>
                <c:pt idx="5">
                  <c:v>15605.51</c:v>
                </c:pt>
                <c:pt idx="6">
                  <c:v>15991.11</c:v>
                </c:pt>
                <c:pt idx="7">
                  <c:v>19881.900000000001</c:v>
                </c:pt>
                <c:pt idx="8">
                  <c:v>12568.53</c:v>
                </c:pt>
                <c:pt idx="9">
                  <c:v>73000.86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C8-4F86-99F4-373473BE4BD6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Stock'!$J$3,'BM -ALL- Stock'!$J$6,'BM -ALL- Stock'!$J$9,'BM -ALL- Stock'!$J$12,'BM -ALL- Stock'!$J$15,'BM -ALL- Stock'!$J$18,'BM -ALL- Stock'!$J$21,'BM -ALL- Stock'!$J$24,'BM -ALL- Stock'!$J$27,'BM -ALL- Stock'!$J$30)</c:f>
              <c:numCache>
                <c:formatCode>\$#,##0.00</c:formatCode>
                <c:ptCount val="10"/>
                <c:pt idx="0">
                  <c:v>24710.36</c:v>
                </c:pt>
                <c:pt idx="1">
                  <c:v>114979.87</c:v>
                </c:pt>
                <c:pt idx="2">
                  <c:v>25058.41</c:v>
                </c:pt>
                <c:pt idx="3">
                  <c:v>11716.02</c:v>
                </c:pt>
                <c:pt idx="4">
                  <c:v>2316.04</c:v>
                </c:pt>
                <c:pt idx="5">
                  <c:v>41327.129999999997</c:v>
                </c:pt>
                <c:pt idx="6">
                  <c:v>15738.84</c:v>
                </c:pt>
                <c:pt idx="7">
                  <c:v>48040.4</c:v>
                </c:pt>
                <c:pt idx="8">
                  <c:v>5302.9</c:v>
                </c:pt>
                <c:pt idx="9">
                  <c:v>74930.3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C8-4F86-99F4-373473BE4BD6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Stock'!$Q$3,'BM -ALL- Stock'!$Q$6,'BM -ALL- Stock'!$Q$9,'BM -ALL- Stock'!$Q$12,'BM -ALL- Stock'!$Q$15,'BM -ALL- Stock'!$Q$18,'BM -ALL- Stock'!$Q$21,'BM -ALL- Stock'!$Q$24,'BM -ALL- Stock'!$Q$27,'BM -ALL- Stock'!$Q$30)</c:f>
              <c:numCache>
                <c:formatCode>\$#,##0.00</c:formatCode>
                <c:ptCount val="10"/>
                <c:pt idx="0">
                  <c:v>9422.64</c:v>
                </c:pt>
                <c:pt idx="1">
                  <c:v>73053.22</c:v>
                </c:pt>
                <c:pt idx="2">
                  <c:v>19631.48</c:v>
                </c:pt>
                <c:pt idx="3">
                  <c:v>6940.05</c:v>
                </c:pt>
                <c:pt idx="4">
                  <c:v>8505.19</c:v>
                </c:pt>
                <c:pt idx="5">
                  <c:v>20451.59</c:v>
                </c:pt>
                <c:pt idx="6">
                  <c:v>14280.24</c:v>
                </c:pt>
                <c:pt idx="7">
                  <c:v>55358.75</c:v>
                </c:pt>
                <c:pt idx="8">
                  <c:v>11999.04</c:v>
                </c:pt>
                <c:pt idx="9">
                  <c:v>55670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8C8-4F86-99F4-373473BE4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Inv 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Stock'!$D$4,'BM -ALL- Stock'!$D$7,'BM -ALL- Stock'!$D$10,'BM -ALL- Stock'!$D$13,'BM -ALL- Stock'!$D$16,'BM -ALL- Stock'!$D$19,'BM -ALL- Stock'!$D$22,'BM -ALL- Stock'!$D$25,'BM -ALL- Stock'!$D$28,'BM -ALL- Stock'!$D$31)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71-4730-B2C5-7062B61131FC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Stock'!$J$4,'BM -ALL- Stock'!$J$7,'BM -ALL- Stock'!$J$10,'BM -ALL- Stock'!$J$13,'BM -ALL- Stock'!$J$16,'BM -ALL- Stock'!$J$19,'BM -ALL- Stock'!$J$22,'BM -ALL- Stock'!$J$25,'BM -ALL- Stock'!$J$28,'BM -ALL- Stock'!$J$31)</c:f>
              <c:numCache>
                <c:formatCode>\$#,##0.00</c:formatCode>
                <c:ptCount val="10"/>
                <c:pt idx="0">
                  <c:v>0</c:v>
                </c:pt>
                <c:pt idx="1">
                  <c:v>86.74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835.75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71-4730-B2C5-7062B61131FC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Stock'!$Q$4,'BM -ALL- Stock'!$Q$7,'BM -ALL- Stock'!$Q$10,'BM -ALL- Stock'!$Q$13,'BM -ALL- Stock'!$Q$16,'BM -ALL- Stock'!$Q$19,'BM -ALL- Stock'!$Q$22,'BM -ALL- Stock'!$Q$25,'BM -ALL- Stock'!$Q$28,'BM -ALL- Stock'!$Q$31)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571-4730-B2C5-7062B61131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Sales 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Stock'!$G$2,'BM -ALL- Stock'!$G$5,'BM -ALL- Stock'!$G$8,'BM -ALL- Stock'!$G$11,'BM -ALL- Stock'!$G$14,'BM -ALL- Stock'!$G$17,'BM -ALL- Stock'!$G$20,'BM -ALL- Stock'!$G$23,'BM -ALL- Stock'!$G$26,'BM -ALL- Stock'!$G$29)</c:f>
              <c:numCache>
                <c:formatCode>\$#,##0.00</c:formatCode>
                <c:ptCount val="10"/>
                <c:pt idx="0">
                  <c:v>0</c:v>
                </c:pt>
                <c:pt idx="1">
                  <c:v>534133.51</c:v>
                </c:pt>
                <c:pt idx="2">
                  <c:v>16393.3</c:v>
                </c:pt>
                <c:pt idx="3">
                  <c:v>24920.59</c:v>
                </c:pt>
                <c:pt idx="4">
                  <c:v>22642.12</c:v>
                </c:pt>
                <c:pt idx="5">
                  <c:v>92900.160000000003</c:v>
                </c:pt>
                <c:pt idx="6">
                  <c:v>90130.3</c:v>
                </c:pt>
                <c:pt idx="7">
                  <c:v>0</c:v>
                </c:pt>
                <c:pt idx="8">
                  <c:v>48507.69</c:v>
                </c:pt>
                <c:pt idx="9">
                  <c:v>68418.94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60-4630-AC2F-5F2F65C41064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Stock'!$M$2,'BM -ALL- Stock'!$M$5,'BM -ALL- Stock'!$M$8,'BM -ALL- Stock'!$M$11,'BM -ALL- Stock'!$M$14,'BM -ALL- Stock'!$M$17,'BM -ALL- Stock'!$M$20,'BM -ALL- Stock'!$M$23,'BM -ALL- Stock'!$M$26,'BM -ALL- Stock'!$M$29)</c:f>
              <c:numCache>
                <c:formatCode>\$#,##0.00</c:formatCode>
                <c:ptCount val="10"/>
                <c:pt idx="0">
                  <c:v>0</c:v>
                </c:pt>
                <c:pt idx="1">
                  <c:v>628228.02</c:v>
                </c:pt>
                <c:pt idx="2">
                  <c:v>13002.29</c:v>
                </c:pt>
                <c:pt idx="3">
                  <c:v>28432.98</c:v>
                </c:pt>
                <c:pt idx="4">
                  <c:v>18511.71</c:v>
                </c:pt>
                <c:pt idx="5">
                  <c:v>112004.5</c:v>
                </c:pt>
                <c:pt idx="6">
                  <c:v>79034.73</c:v>
                </c:pt>
                <c:pt idx="7">
                  <c:v>20.2</c:v>
                </c:pt>
                <c:pt idx="8">
                  <c:v>61037.41</c:v>
                </c:pt>
                <c:pt idx="9">
                  <c:v>60014.71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60-4630-AC2F-5F2F65C41064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Stock'!$T$2,'BM -ALL- Stock'!$T$5,'BM -ALL- Stock'!$T$8,'BM -ALL- Stock'!$T$11,'BM -ALL- Stock'!$T$14,'BM -ALL- Stock'!$T$17,'BM -ALL- Stock'!$T$20,'BM -ALL- Stock'!$T$23,'BM -ALL- Stock'!$T$26,'BM -ALL- Stock'!$T$29)</c:f>
              <c:numCache>
                <c:formatCode>\$#,##0.00</c:formatCode>
                <c:ptCount val="10"/>
                <c:pt idx="0">
                  <c:v>0</c:v>
                </c:pt>
                <c:pt idx="1">
                  <c:v>584417.30000000005</c:v>
                </c:pt>
                <c:pt idx="2">
                  <c:v>6361.71</c:v>
                </c:pt>
                <c:pt idx="3">
                  <c:v>42287.16</c:v>
                </c:pt>
                <c:pt idx="4">
                  <c:v>13228.97</c:v>
                </c:pt>
                <c:pt idx="5">
                  <c:v>75911.11</c:v>
                </c:pt>
                <c:pt idx="6">
                  <c:v>68717.66</c:v>
                </c:pt>
                <c:pt idx="7">
                  <c:v>-496.63</c:v>
                </c:pt>
                <c:pt idx="8">
                  <c:v>48316.72</c:v>
                </c:pt>
                <c:pt idx="9">
                  <c:v>48679.27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60-4630-AC2F-5F2F65C41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Sales 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Stock'!$G$3,'BM -ALL- Stock'!$G$6,'BM -ALL- Stock'!$G$9,'BM -ALL- Stock'!$G$12,'BM -ALL- Stock'!$G$15,'BM -ALL- Stock'!$G$18,'BM -ALL- Stock'!$G$21,'BM -ALL- Stock'!$G$24,'BM -ALL- Stock'!$G$27,'BM -ALL- Stock'!$G$30)</c:f>
              <c:numCache>
                <c:formatCode>\$#,##0.00</c:formatCode>
                <c:ptCount val="10"/>
                <c:pt idx="0">
                  <c:v>48108.78</c:v>
                </c:pt>
                <c:pt idx="1">
                  <c:v>555151.31000000006</c:v>
                </c:pt>
                <c:pt idx="2">
                  <c:v>92586.03</c:v>
                </c:pt>
                <c:pt idx="3">
                  <c:v>36409.370000000003</c:v>
                </c:pt>
                <c:pt idx="4">
                  <c:v>19988.88</c:v>
                </c:pt>
                <c:pt idx="5">
                  <c:v>34314.839999999997</c:v>
                </c:pt>
                <c:pt idx="6">
                  <c:v>50490.67</c:v>
                </c:pt>
                <c:pt idx="7">
                  <c:v>23990.11</c:v>
                </c:pt>
                <c:pt idx="8">
                  <c:v>9740.4</c:v>
                </c:pt>
                <c:pt idx="9">
                  <c:v>486658.99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84-42E7-884B-B5F54011F6E5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Stock'!$M$3,'BM -ALL- Stock'!$M$6,'BM -ALL- Stock'!$M$9,'BM -ALL- Stock'!$M$12,'BM -ALL- Stock'!$M$15,'BM -ALL- Stock'!$M$18,'BM -ALL- Stock'!$M$21,'BM -ALL- Stock'!$M$24,'BM -ALL- Stock'!$M$27,'BM -ALL- Stock'!$M$30)</c:f>
              <c:numCache>
                <c:formatCode>\$#,##0.00</c:formatCode>
                <c:ptCount val="10"/>
                <c:pt idx="0">
                  <c:v>48674.68</c:v>
                </c:pt>
                <c:pt idx="1">
                  <c:v>565681.26</c:v>
                </c:pt>
                <c:pt idx="2">
                  <c:v>81225.39</c:v>
                </c:pt>
                <c:pt idx="3">
                  <c:v>30399.31</c:v>
                </c:pt>
                <c:pt idx="4">
                  <c:v>9087.1</c:v>
                </c:pt>
                <c:pt idx="5">
                  <c:v>42622.86</c:v>
                </c:pt>
                <c:pt idx="6">
                  <c:v>53924.35</c:v>
                </c:pt>
                <c:pt idx="7">
                  <c:v>93016.4</c:v>
                </c:pt>
                <c:pt idx="8">
                  <c:v>3308.86</c:v>
                </c:pt>
                <c:pt idx="9">
                  <c:v>566789.35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84-42E7-884B-B5F54011F6E5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Stock'!$T$3,'BM -ALL- Stock'!$T$6,'BM -ALL- Stock'!$T$9,'BM -ALL- Stock'!$T$12,'BM -ALL- Stock'!$T$15,'BM -ALL- Stock'!$T$18,'BM -ALL- Stock'!$T$21,'BM -ALL- Stock'!$T$24,'BM -ALL- Stock'!$T$27,'BM -ALL- Stock'!$T$30)</c:f>
              <c:numCache>
                <c:formatCode>\$#,##0.00</c:formatCode>
                <c:ptCount val="10"/>
                <c:pt idx="0">
                  <c:v>47777.279999999999</c:v>
                </c:pt>
                <c:pt idx="1">
                  <c:v>570080.72</c:v>
                </c:pt>
                <c:pt idx="2">
                  <c:v>112463.86</c:v>
                </c:pt>
                <c:pt idx="3">
                  <c:v>34877.35</c:v>
                </c:pt>
                <c:pt idx="4">
                  <c:v>11730.64</c:v>
                </c:pt>
                <c:pt idx="5">
                  <c:v>86215.21</c:v>
                </c:pt>
                <c:pt idx="6">
                  <c:v>54330.67</c:v>
                </c:pt>
                <c:pt idx="7">
                  <c:v>69436.820000000007</c:v>
                </c:pt>
                <c:pt idx="8">
                  <c:v>4118.5</c:v>
                </c:pt>
                <c:pt idx="9">
                  <c:v>611998.71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484-42E7-884B-B5F54011F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Sales 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Stock'!$G$4,'BM -ALL- Stock'!$G$7,'BM -ALL- Stock'!$G$10,'BM -ALL- Stock'!$G$13,'BM -ALL- Stock'!$G$16,'BM -ALL- Stock'!$G$19,'BM -ALL- Stock'!$G$22,'BM -ALL- Stock'!$G$25,'BM -ALL- Stock'!$G$28,'BM -ALL- Stock'!$G$31)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1D-42BE-AB96-7D3E46FD9490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Stock'!$M$4,'BM -ALL- Stock'!$M$7,'BM -ALL- Stock'!$M$10,'BM -ALL- Stock'!$M$13,'BM -ALL- Stock'!$M$16,'BM -ALL- Stock'!$M$19,'BM -ALL- Stock'!$M$22,'BM -ALL- Stock'!$M$25,'BM -ALL- Stock'!$M$28,'BM -ALL- Stock'!$M$31)</c:f>
              <c:numCache>
                <c:formatCode>\$#,##0.00</c:formatCode>
                <c:ptCount val="10"/>
                <c:pt idx="0">
                  <c:v>0</c:v>
                </c:pt>
                <c:pt idx="1">
                  <c:v>11.98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1D-42BE-AB96-7D3E46FD9490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Stock'!$T$4,'BM -ALL- Stock'!$T$7,'BM -ALL- Stock'!$T$10,'BM -ALL- Stock'!$T$13,'BM -ALL- Stock'!$T$16,'BM -ALL- Stock'!$T$19,'BM -ALL- Stock'!$T$22,'BM -ALL- Stock'!$T$25,'BM -ALL- Stock'!$T$28,'BM -ALL- Stock'!$T$31)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41D-42BE-AB96-7D3E46FD9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</a:t>
            </a:r>
            <a:r>
              <a:rPr lang="en-US" baseline="0"/>
              <a:t> GP% </a:t>
            </a:r>
            <a:r>
              <a:rPr lang="en-US"/>
              <a:t>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Stock'!$I$2,'BM -ALL- Stock'!$I$5,'BM -ALL- Stock'!$I$8,'BM -ALL- Stock'!$I$11,'BM -ALL- Stock'!$I$14,'BM -ALL- Stock'!$I$17,'BM -ALL- Stock'!$I$20,'BM -ALL- Stock'!$I$23,'BM -ALL- Stock'!$I$26,'BM -ALL- Stock'!$I$29)</c:f>
              <c:numCache>
                <c:formatCode>0.0%</c:formatCode>
                <c:ptCount val="10"/>
                <c:pt idx="0">
                  <c:v>0</c:v>
                </c:pt>
                <c:pt idx="1">
                  <c:v>0.33500000000000002</c:v>
                </c:pt>
                <c:pt idx="2">
                  <c:v>0.36499999999999999</c:v>
                </c:pt>
                <c:pt idx="3">
                  <c:v>0.33200000000000002</c:v>
                </c:pt>
                <c:pt idx="4">
                  <c:v>0.28699999999999998</c:v>
                </c:pt>
                <c:pt idx="5">
                  <c:v>0.36199999999999999</c:v>
                </c:pt>
                <c:pt idx="6">
                  <c:v>0.252</c:v>
                </c:pt>
                <c:pt idx="7">
                  <c:v>0</c:v>
                </c:pt>
                <c:pt idx="8">
                  <c:v>0.437</c:v>
                </c:pt>
                <c:pt idx="9">
                  <c:v>0.26700000000000002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77-4FA1-9493-A62FEFD61D81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Stock'!$O$2,'BM -ALL- Stock'!$O$5,'BM -ALL- Stock'!$O$8,'BM -ALL- Stock'!$O$11,'BM -ALL- Stock'!$O$14,'BM -ALL- Stock'!$O$17,'BM -ALL- Stock'!$O$20,'BM -ALL- Stock'!$O$23,'BM -ALL- Stock'!$O$26,'BM -ALL- Stock'!$O$29)</c:f>
              <c:numCache>
                <c:formatCode>0.0%</c:formatCode>
                <c:ptCount val="10"/>
                <c:pt idx="0">
                  <c:v>0</c:v>
                </c:pt>
                <c:pt idx="1">
                  <c:v>0.33500000000000002</c:v>
                </c:pt>
                <c:pt idx="2">
                  <c:v>0.35699999999999998</c:v>
                </c:pt>
                <c:pt idx="3">
                  <c:v>0.32600000000000001</c:v>
                </c:pt>
                <c:pt idx="4">
                  <c:v>0.313</c:v>
                </c:pt>
                <c:pt idx="5">
                  <c:v>0.38300000000000001</c:v>
                </c:pt>
                <c:pt idx="6">
                  <c:v>0.254</c:v>
                </c:pt>
                <c:pt idx="7">
                  <c:v>-4.4690000000000003</c:v>
                </c:pt>
                <c:pt idx="8">
                  <c:v>0.441</c:v>
                </c:pt>
                <c:pt idx="9">
                  <c:v>0.29499999999999998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77-4FA1-9493-A62FEFD61D81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Stock'!$V$2,'BM -ALL- Stock'!$V$5,'BM -ALL- Stock'!$V$8,'BM -ALL- Stock'!$V$11,'BM -ALL- Stock'!$V$14,'BM -ALL- Stock'!$V$17,'BM -ALL- Stock'!$V$20,'BM -ALL- Stock'!$V$23,'BM -ALL- Stock'!$V$26,'BM -ALL- Stock'!$V$29)</c:f>
              <c:numCache>
                <c:formatCode>0.0%</c:formatCode>
                <c:ptCount val="10"/>
                <c:pt idx="0">
                  <c:v>0</c:v>
                </c:pt>
                <c:pt idx="1">
                  <c:v>0.33700000000000002</c:v>
                </c:pt>
                <c:pt idx="2">
                  <c:v>0.43</c:v>
                </c:pt>
                <c:pt idx="3">
                  <c:v>0.40899999999999997</c:v>
                </c:pt>
                <c:pt idx="4">
                  <c:v>0.32</c:v>
                </c:pt>
                <c:pt idx="5">
                  <c:v>0.37</c:v>
                </c:pt>
                <c:pt idx="6">
                  <c:v>0.246</c:v>
                </c:pt>
                <c:pt idx="7">
                  <c:v>0.33100000000000002</c:v>
                </c:pt>
                <c:pt idx="8">
                  <c:v>0.44500000000000001</c:v>
                </c:pt>
                <c:pt idx="9">
                  <c:v>0.26800000000000002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77-4FA1-9493-A62FEFD61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</a:t>
            </a:r>
            <a:r>
              <a:rPr lang="en-US" baseline="0"/>
              <a:t> GP% </a:t>
            </a:r>
            <a:r>
              <a:rPr lang="en-US"/>
              <a:t>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Stock'!$I$3,'BM -ALL- Stock'!$I$6,'BM -ALL- Stock'!$I$9,'BM -ALL- Stock'!$I$12,'BM -ALL- Stock'!$I$15,'BM -ALL- Stock'!$I$18,'BM -ALL- Stock'!$I$21,'BM -ALL- Stock'!$I$24,'BM -ALL- Stock'!$I$27,'BM -ALL- Stock'!$I$30)</c:f>
              <c:numCache>
                <c:formatCode>0.0%</c:formatCode>
                <c:ptCount val="10"/>
                <c:pt idx="0">
                  <c:v>0.26200000000000001</c:v>
                </c:pt>
                <c:pt idx="1">
                  <c:v>0.29399999999999998</c:v>
                </c:pt>
                <c:pt idx="2">
                  <c:v>0.26200000000000001</c:v>
                </c:pt>
                <c:pt idx="3">
                  <c:v>0.29399999999999998</c:v>
                </c:pt>
                <c:pt idx="4">
                  <c:v>0.248</c:v>
                </c:pt>
                <c:pt idx="5">
                  <c:v>0.33200000000000002</c:v>
                </c:pt>
                <c:pt idx="6">
                  <c:v>0.23599999999999999</c:v>
                </c:pt>
                <c:pt idx="7">
                  <c:v>0.252</c:v>
                </c:pt>
                <c:pt idx="8">
                  <c:v>0.42199999999999999</c:v>
                </c:pt>
                <c:pt idx="9">
                  <c:v>0.214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11-4948-A5CC-801981D44C17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Stock'!$O$3,'BM -ALL- Stock'!$O$6,'BM -ALL- Stock'!$O$9,'BM -ALL- Stock'!$O$12,'BM -ALL- Stock'!$O$15,'BM -ALL- Stock'!$O$18,'BM -ALL- Stock'!$O$21,'BM -ALL- Stock'!$O$24,'BM -ALL- Stock'!$O$27,'BM -ALL- Stock'!$O$30)</c:f>
              <c:numCache>
                <c:formatCode>0.0%</c:formatCode>
                <c:ptCount val="10"/>
                <c:pt idx="0">
                  <c:v>0.30099999999999999</c:v>
                </c:pt>
                <c:pt idx="1">
                  <c:v>0.29699999999999999</c:v>
                </c:pt>
                <c:pt idx="2">
                  <c:v>0.27200000000000002</c:v>
                </c:pt>
                <c:pt idx="3">
                  <c:v>0.28999999999999998</c:v>
                </c:pt>
                <c:pt idx="4">
                  <c:v>0.28399999999999997</c:v>
                </c:pt>
                <c:pt idx="5">
                  <c:v>0.317</c:v>
                </c:pt>
                <c:pt idx="6">
                  <c:v>0.24399999999999999</c:v>
                </c:pt>
                <c:pt idx="7">
                  <c:v>0.23300000000000001</c:v>
                </c:pt>
                <c:pt idx="8">
                  <c:v>0.44400000000000001</c:v>
                </c:pt>
                <c:pt idx="9">
                  <c:v>0.23100000000000001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11-4948-A5CC-801981D44C17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Stock'!$V$3,'BM -ALL- Stock'!$V$6,'BM -ALL- Stock'!$V$9,'BM -ALL- Stock'!$V$12,'BM -ALL- Stock'!$V$15,'BM -ALL- Stock'!$V$18,'BM -ALL- Stock'!$V$21,'BM -ALL- Stock'!$V$24,'BM -ALL- Stock'!$V$27,'BM -ALL- Stock'!$V$30)</c:f>
              <c:numCache>
                <c:formatCode>0.0%</c:formatCode>
                <c:ptCount val="10"/>
                <c:pt idx="0">
                  <c:v>0.27800000000000002</c:v>
                </c:pt>
                <c:pt idx="1">
                  <c:v>0.30399999999999999</c:v>
                </c:pt>
                <c:pt idx="2">
                  <c:v>0.30099999999999999</c:v>
                </c:pt>
                <c:pt idx="3">
                  <c:v>0.29099999999999998</c:v>
                </c:pt>
                <c:pt idx="4">
                  <c:v>0.23300000000000001</c:v>
                </c:pt>
                <c:pt idx="5">
                  <c:v>0.28499999999999998</c:v>
                </c:pt>
                <c:pt idx="6">
                  <c:v>0.23599999999999999</c:v>
                </c:pt>
                <c:pt idx="7">
                  <c:v>0.23100000000000001</c:v>
                </c:pt>
                <c:pt idx="8">
                  <c:v>0.47599999999999998</c:v>
                </c:pt>
                <c:pt idx="9">
                  <c:v>0.23400000000000001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11-4948-A5CC-801981D44C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</a:t>
            </a:r>
            <a:r>
              <a:rPr lang="en-US" baseline="0"/>
              <a:t>GP% </a:t>
            </a:r>
            <a:r>
              <a:rPr lang="en-US"/>
              <a:t>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Stock'!$I$4,'BM -ALL- Stock'!$I$7,'BM -ALL- Stock'!$I$10,'BM -ALL- Stock'!$I$13,'BM -ALL- Stock'!$I$16,'BM -ALL- Stock'!$I$19,'BM -ALL- Stock'!$I$22,'BM -ALL- Stock'!$I$25,'BM -ALL- Stock'!$I$28,'BM -ALL- Stock'!$I$31)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1C75-4A4F-BECA-3667D7DAE3C8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Stock'!$O$4,'BM -ALL- Stock'!$O$7,'BM -ALL- Stock'!$O$10,'BM -ALL- Stock'!$O$13,'BM -ALL- Stock'!$O$16,'BM -ALL- Stock'!$O$19,'BM -ALL- Stock'!$O$22,'BM -ALL- Stock'!$O$25,'BM -ALL- Stock'!$O$28,'BM -ALL- Stock'!$O$31)</c:f>
              <c:numCache>
                <c:formatCode>0.0%</c:formatCode>
                <c:ptCount val="10"/>
                <c:pt idx="0">
                  <c:v>0</c:v>
                </c:pt>
                <c:pt idx="1">
                  <c:v>0.31900000000000001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1C75-4A4F-BECA-3667D7DAE3C8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Stock'!$V$4,'BM -ALL- Stock'!$V$7,'BM -ALL- Stock'!$V$10,'BM -ALL- Stock'!$V$13,'BM -ALL- Stock'!$V$16,'BM -ALL- Stock'!$V$19,'BM -ALL- Stock'!$V$22,'BM -ALL- Stock'!$V$25,'BM -ALL- Stock'!$V$28,'BM -ALL- Stock'!$V$31)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1C75-4A4F-BECA-3667D7DAE3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</a:t>
            </a:r>
            <a:r>
              <a:rPr lang="en-US" baseline="0"/>
              <a:t> GP$ </a:t>
            </a:r>
            <a:r>
              <a:rPr lang="en-US"/>
              <a:t>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Stock'!$H$2,'BM -ALL- Stock'!$H$5,'BM -ALL- Stock'!$H$8,'BM -ALL- Stock'!$H$11,'BM -ALL- Stock'!$H$14,'BM -ALL- Stock'!$H$17,'BM -ALL- Stock'!$H$20,'BM -ALL- Stock'!$H$23,'BM -ALL- Stock'!$H$26,'BM -ALL- Stock'!$H$29)</c:f>
              <c:numCache>
                <c:formatCode>\$#,##0.00</c:formatCode>
                <c:ptCount val="10"/>
                <c:pt idx="0">
                  <c:v>0</c:v>
                </c:pt>
                <c:pt idx="1">
                  <c:v>179106.59</c:v>
                </c:pt>
                <c:pt idx="2">
                  <c:v>5985.39</c:v>
                </c:pt>
                <c:pt idx="3">
                  <c:v>8262.1299999999992</c:v>
                </c:pt>
                <c:pt idx="4">
                  <c:v>6504.28</c:v>
                </c:pt>
                <c:pt idx="5">
                  <c:v>33641.47</c:v>
                </c:pt>
                <c:pt idx="6">
                  <c:v>22729.45</c:v>
                </c:pt>
                <c:pt idx="7">
                  <c:v>0</c:v>
                </c:pt>
                <c:pt idx="8">
                  <c:v>21186.82</c:v>
                </c:pt>
                <c:pt idx="9">
                  <c:v>18289.16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D5-49EA-983A-03A44A3DD7B9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Stock'!$N$2,'BM -ALL- Stock'!$N$5,'BM -ALL- Stock'!$N$8,'BM -ALL- Stock'!$N$11,'BM -ALL- Stock'!$N$14,'BM -ALL- Stock'!$N$17,'BM -ALL- Stock'!$N$20,'BM -ALL- Stock'!$N$23,'BM -ALL- Stock'!$N$26,'BM -ALL- Stock'!$N$29)</c:f>
              <c:numCache>
                <c:formatCode>\$#,##0.00</c:formatCode>
                <c:ptCount val="10"/>
                <c:pt idx="0">
                  <c:v>0</c:v>
                </c:pt>
                <c:pt idx="1">
                  <c:v>210559.84</c:v>
                </c:pt>
                <c:pt idx="2">
                  <c:v>4642.2700000000004</c:v>
                </c:pt>
                <c:pt idx="3">
                  <c:v>9278.41</c:v>
                </c:pt>
                <c:pt idx="4">
                  <c:v>5794.09</c:v>
                </c:pt>
                <c:pt idx="5">
                  <c:v>42866.2</c:v>
                </c:pt>
                <c:pt idx="6">
                  <c:v>20065.11</c:v>
                </c:pt>
                <c:pt idx="7">
                  <c:v>-90.27</c:v>
                </c:pt>
                <c:pt idx="8">
                  <c:v>26918.62</c:v>
                </c:pt>
                <c:pt idx="9">
                  <c:v>17726.580000000002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D5-49EA-983A-03A44A3DD7B9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Stock'!$B$2,'BM -ALL- Stock'!$B$5,'BM -ALL- Stock'!$B$8,'BM -ALL- Stock'!$B$11,'BM -ALL- Stock'!$B$14,'BM -ALL- Stock'!$B$17,'BM -ALL- Stock'!$B$20,'BM -ALL- Stock'!$B$23,'BM -ALL- Stock'!$B$26,'BM -ALL- Stock'!$B$29)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Stock'!$U$2,'BM -ALL- Stock'!$U$5,'BM -ALL- Stock'!$U$8,'BM -ALL- Stock'!$U$11,'BM -ALL- Stock'!$U$14,'BM -ALL- Stock'!$U$17,'BM -ALL- Stock'!$U$20,'BM -ALL- Stock'!$U$23,'BM -ALL- Stock'!$U$26,'BM -ALL- Stock'!$U$29)</c:f>
              <c:numCache>
                <c:formatCode>\$#,##0.00</c:formatCode>
                <c:ptCount val="10"/>
                <c:pt idx="0">
                  <c:v>0</c:v>
                </c:pt>
                <c:pt idx="1">
                  <c:v>196800.17</c:v>
                </c:pt>
                <c:pt idx="2">
                  <c:v>2734.26</c:v>
                </c:pt>
                <c:pt idx="3">
                  <c:v>17287.150000000001</c:v>
                </c:pt>
                <c:pt idx="4">
                  <c:v>4238.91</c:v>
                </c:pt>
                <c:pt idx="5">
                  <c:v>28057.25</c:v>
                </c:pt>
                <c:pt idx="6">
                  <c:v>16895.259999999998</c:v>
                </c:pt>
                <c:pt idx="7">
                  <c:v>-164.23</c:v>
                </c:pt>
                <c:pt idx="8">
                  <c:v>21503.03</c:v>
                </c:pt>
                <c:pt idx="9">
                  <c:v>13055.47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D5-49EA-983A-03A44A3DD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All GP%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'December 2025 -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'December 2025 - Dashboard'!$K$3:$K$21</c:f>
              <c:numCache>
                <c:formatCode>0.0%</c:formatCode>
                <c:ptCount val="19"/>
                <c:pt idx="0">
                  <c:v>0.28799999999999998</c:v>
                </c:pt>
                <c:pt idx="1">
                  <c:v>0.28799999999999998</c:v>
                </c:pt>
                <c:pt idx="2">
                  <c:v>0</c:v>
                </c:pt>
                <c:pt idx="3">
                  <c:v>0.29399999999999998</c:v>
                </c:pt>
                <c:pt idx="4">
                  <c:v>0.33218955963591612</c:v>
                </c:pt>
                <c:pt idx="5">
                  <c:v>0.21059406843562178</c:v>
                </c:pt>
                <c:pt idx="6">
                  <c:v>0.215</c:v>
                </c:pt>
                <c:pt idx="7">
                  <c:v>0.38307791569776051</c:v>
                </c:pt>
                <c:pt idx="8">
                  <c:v>0.20153038705265192</c:v>
                </c:pt>
                <c:pt idx="9">
                  <c:v>0.38400000000000001</c:v>
                </c:pt>
                <c:pt idx="10">
                  <c:v>0.3915277566642511</c:v>
                </c:pt>
                <c:pt idx="11">
                  <c:v>0.30698444983578999</c:v>
                </c:pt>
                <c:pt idx="12">
                  <c:v>0.307</c:v>
                </c:pt>
                <c:pt idx="13">
                  <c:v>0.28804259027179624</c:v>
                </c:pt>
                <c:pt idx="14">
                  <c:v>0.17899779193236109</c:v>
                </c:pt>
                <c:pt idx="15">
                  <c:v>0.16500000000000001</c:v>
                </c:pt>
                <c:pt idx="16">
                  <c:v>0.19438008493050341</c:v>
                </c:pt>
                <c:pt idx="17">
                  <c:v>-0.61444362122477703</c:v>
                </c:pt>
                <c:pt idx="18">
                  <c:v>0.29069821044234256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80-43D4-8451-8DEA8ECF6802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'December 2025 -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'December 2025 - Dashboard'!$W$3:$W$21</c:f>
              <c:numCache>
                <c:formatCode>0.0%</c:formatCode>
                <c:ptCount val="19"/>
                <c:pt idx="0">
                  <c:v>0.29499999999999998</c:v>
                </c:pt>
                <c:pt idx="1">
                  <c:v>0.29499999999999998</c:v>
                </c:pt>
                <c:pt idx="2">
                  <c:v>0</c:v>
                </c:pt>
                <c:pt idx="3">
                  <c:v>0.26900000000000002</c:v>
                </c:pt>
                <c:pt idx="4">
                  <c:v>0.30151597809630859</c:v>
                </c:pt>
                <c:pt idx="5">
                  <c:v>0.20419863617164291</c:v>
                </c:pt>
                <c:pt idx="6">
                  <c:v>0.21199999999999999</c:v>
                </c:pt>
                <c:pt idx="7">
                  <c:v>0.39423662437776552</c:v>
                </c:pt>
                <c:pt idx="8">
                  <c:v>0.19706464405238977</c:v>
                </c:pt>
                <c:pt idx="9">
                  <c:v>0.378</c:v>
                </c:pt>
                <c:pt idx="10">
                  <c:v>0.38539125007321628</c:v>
                </c:pt>
                <c:pt idx="11">
                  <c:v>0.28584351495339111</c:v>
                </c:pt>
                <c:pt idx="12">
                  <c:v>0.3</c:v>
                </c:pt>
                <c:pt idx="13">
                  <c:v>0.29990139594888288</c:v>
                </c:pt>
                <c:pt idx="14">
                  <c:v>0.44365002423654865</c:v>
                </c:pt>
                <c:pt idx="15">
                  <c:v>0.28799999999999998</c:v>
                </c:pt>
                <c:pt idx="16">
                  <c:v>0.28038597885308969</c:v>
                </c:pt>
                <c:pt idx="17">
                  <c:v>0.37534612250211075</c:v>
                </c:pt>
                <c:pt idx="18">
                  <c:v>0.28353122107477069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80-43D4-8451-8DEA8ECF6802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'December 2025 -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'December 2025 - Dashboard'!$AJ$3:$AJ$21</c:f>
              <c:numCache>
                <c:formatCode>0.0%</c:formatCode>
                <c:ptCount val="19"/>
                <c:pt idx="0">
                  <c:v>0.29399999999999998</c:v>
                </c:pt>
                <c:pt idx="1">
                  <c:v>0.29399999999999998</c:v>
                </c:pt>
                <c:pt idx="2">
                  <c:v>0</c:v>
                </c:pt>
                <c:pt idx="3">
                  <c:v>0.27900000000000003</c:v>
                </c:pt>
                <c:pt idx="4">
                  <c:v>0.3053404524312211</c:v>
                </c:pt>
                <c:pt idx="5">
                  <c:v>0.20900569380686973</c:v>
                </c:pt>
                <c:pt idx="6">
                  <c:v>0.21</c:v>
                </c:pt>
                <c:pt idx="7">
                  <c:v>0.3933765923688074</c:v>
                </c:pt>
                <c:pt idx="8">
                  <c:v>0.1917227339611336</c:v>
                </c:pt>
                <c:pt idx="9">
                  <c:v>0.38200000000000001</c:v>
                </c:pt>
                <c:pt idx="10">
                  <c:v>0.38787636981955276</c:v>
                </c:pt>
                <c:pt idx="11">
                  <c:v>0.31001624509634429</c:v>
                </c:pt>
                <c:pt idx="12">
                  <c:v>0.3</c:v>
                </c:pt>
                <c:pt idx="13">
                  <c:v>0.30034531033064549</c:v>
                </c:pt>
                <c:pt idx="14">
                  <c:v>0.41963015647226176</c:v>
                </c:pt>
                <c:pt idx="15">
                  <c:v>0.34</c:v>
                </c:pt>
                <c:pt idx="16">
                  <c:v>0.34755965516107235</c:v>
                </c:pt>
                <c:pt idx="17">
                  <c:v>0.25049207416858843</c:v>
                </c:pt>
                <c:pt idx="18">
                  <c:v>0.29089973304189032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D80-43D4-8451-8DEA8ECF6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27119879"/>
        <c:axId val="1527121927"/>
      </c:barChart>
      <c:catAx>
        <c:axId val="1527119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7121927"/>
        <c:crosses val="autoZero"/>
        <c:auto val="1"/>
        <c:lblAlgn val="ctr"/>
        <c:lblOffset val="100"/>
        <c:noMultiLvlLbl val="0"/>
      </c:catAx>
      <c:valAx>
        <c:axId val="15271219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711987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</a:t>
            </a:r>
            <a:r>
              <a:rPr lang="en-US" baseline="0"/>
              <a:t>GP$ </a:t>
            </a:r>
            <a:r>
              <a:rPr lang="en-US"/>
              <a:t>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Stock'!$H$3,'BM -ALL- Stock'!$H$6,'BM -ALL- Stock'!$H$9,'BM -ALL- Stock'!$H$12,'BM -ALL- Stock'!$H$15,'BM -ALL- Stock'!$H$18,'BM -ALL- Stock'!$H$21,'BM -ALL- Stock'!$H$24,'BM -ALL- Stock'!$H$27,'BM -ALL- Stock'!$H$30)</c:f>
              <c:numCache>
                <c:formatCode>\$#,##0.00</c:formatCode>
                <c:ptCount val="10"/>
                <c:pt idx="0">
                  <c:v>12603.4</c:v>
                </c:pt>
                <c:pt idx="1">
                  <c:v>163199.92000000001</c:v>
                </c:pt>
                <c:pt idx="2">
                  <c:v>24288.81</c:v>
                </c:pt>
                <c:pt idx="3">
                  <c:v>10691.46</c:v>
                </c:pt>
                <c:pt idx="4">
                  <c:v>4966.4399999999996</c:v>
                </c:pt>
                <c:pt idx="5">
                  <c:v>11383.63</c:v>
                </c:pt>
                <c:pt idx="6">
                  <c:v>11901.17</c:v>
                </c:pt>
                <c:pt idx="7">
                  <c:v>6049.67</c:v>
                </c:pt>
                <c:pt idx="8">
                  <c:v>4113.38</c:v>
                </c:pt>
                <c:pt idx="9">
                  <c:v>104209.91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C-485D-BF21-163239173693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Stock'!$N$3,'BM -ALL- Stock'!$N$6,'BM -ALL- Stock'!$N$9,'BM -ALL- Stock'!$N$12,'BM -ALL- Stock'!$N$15,'BM -ALL- Stock'!$N$18,'BM -ALL- Stock'!$N$21,'BM -ALL- Stock'!$N$24,'BM -ALL- Stock'!$N$27,'BM -ALL- Stock'!$N$30)</c:f>
              <c:numCache>
                <c:formatCode>\$#,##0.00</c:formatCode>
                <c:ptCount val="10"/>
                <c:pt idx="0">
                  <c:v>14663.87</c:v>
                </c:pt>
                <c:pt idx="1">
                  <c:v>168170.78</c:v>
                </c:pt>
                <c:pt idx="2">
                  <c:v>22071.040000000001</c:v>
                </c:pt>
                <c:pt idx="3">
                  <c:v>8806.27</c:v>
                </c:pt>
                <c:pt idx="4">
                  <c:v>2580.9499999999998</c:v>
                </c:pt>
                <c:pt idx="5">
                  <c:v>13500.65</c:v>
                </c:pt>
                <c:pt idx="6">
                  <c:v>13140.74</c:v>
                </c:pt>
                <c:pt idx="7">
                  <c:v>21636.87</c:v>
                </c:pt>
                <c:pt idx="8">
                  <c:v>1468.56</c:v>
                </c:pt>
                <c:pt idx="9">
                  <c:v>131089.04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C-485D-BF21-163239173693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Stock'!$B$3,'BM -ALL- Stock'!$B$6,'BM -ALL- Stock'!$B$9,'BM -ALL- Stock'!$B$12,'BM -ALL- Stock'!$B$15,'BM -ALL- Stock'!$B$18,'BM -ALL- Stock'!$B$21,'BM -ALL- Stock'!$B$24,'BM -ALL- Stock'!$B$27,'BM -ALL- Stock'!$B$30)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Stock'!$U$3,'BM -ALL- Stock'!$U$6,'BM -ALL- Stock'!$U$9,'BM -ALL- Stock'!$U$12,'BM -ALL- Stock'!$U$15,'BM -ALL- Stock'!$U$18,'BM -ALL- Stock'!$U$21,'BM -ALL- Stock'!$U$24,'BM -ALL- Stock'!$U$27,'BM -ALL- Stock'!$U$30)</c:f>
              <c:numCache>
                <c:formatCode>\$#,##0.00</c:formatCode>
                <c:ptCount val="10"/>
                <c:pt idx="0">
                  <c:v>13275.08</c:v>
                </c:pt>
                <c:pt idx="1">
                  <c:v>173456.53</c:v>
                </c:pt>
                <c:pt idx="2">
                  <c:v>33850.129999999997</c:v>
                </c:pt>
                <c:pt idx="3">
                  <c:v>10161.64</c:v>
                </c:pt>
                <c:pt idx="4">
                  <c:v>2738.3</c:v>
                </c:pt>
                <c:pt idx="5">
                  <c:v>24575.77</c:v>
                </c:pt>
                <c:pt idx="6">
                  <c:v>12808.96</c:v>
                </c:pt>
                <c:pt idx="7">
                  <c:v>16025.73</c:v>
                </c:pt>
                <c:pt idx="8">
                  <c:v>1958.71</c:v>
                </c:pt>
                <c:pt idx="9">
                  <c:v>143275.28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DC-485D-BF21-163239173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</a:t>
            </a:r>
            <a:r>
              <a:rPr lang="en-US" baseline="0"/>
              <a:t>GP$ </a:t>
            </a:r>
            <a:r>
              <a:rPr lang="en-US"/>
              <a:t>BM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Stock'!$H$4,'BM -ALL- Stock'!$H$7,'BM -ALL- Stock'!$H$10,'BM -ALL- Stock'!$H$13,'BM -ALL- Stock'!$H$16,'BM -ALL- Stock'!$H$19,'BM -ALL- Stock'!$H$22,'BM -ALL- Stock'!$H$25,'BM -ALL- Stock'!$H$28,'BM -ALL- Stock'!$H$31)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93-47EC-9600-29436F22C8F2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Stock'!$N$4,'BM -ALL- Stock'!$N$7,'BM -ALL- Stock'!$N$10,'BM -ALL- Stock'!$N$13,'BM -ALL- Stock'!$N$16,'BM -ALL- Stock'!$N$19,'BM -ALL- Stock'!$N$22,'BM -ALL- Stock'!$N$25,'BM -ALL- Stock'!$N$28,'BM -ALL- Stock'!$N$31)</c:f>
              <c:numCache>
                <c:formatCode>\$#,##0.00</c:formatCode>
                <c:ptCount val="10"/>
                <c:pt idx="0">
                  <c:v>0</c:v>
                </c:pt>
                <c:pt idx="1">
                  <c:v>3.82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5393-47EC-9600-29436F22C8F2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('BM -ALL- Stock'!$B$4,'BM -ALL- Stock'!$B$7,'BM -ALL- Stock'!$B$10,'BM -ALL- Stock'!$B$13,'BM -ALL- Stock'!$B$16,'BM -ALL- Stock'!$B$19,'BM -ALL- Stock'!$B$22,'BM -ALL- Stock'!$B$25,'BM -ALL- Stock'!$B$28,'BM -ALL- Stock'!$B$31)</c:f>
              <c:strCache>
                <c:ptCount val="10"/>
                <c:pt idx="0">
                  <c:v>DC DOCK HARDWARE</c:v>
                </c:pt>
                <c:pt idx="1">
                  <c:v>EE COMPOSITES</c:v>
                </c:pt>
                <c:pt idx="2">
                  <c:v>ER EXTERIOR RAILS</c:v>
                </c:pt>
                <c:pt idx="3">
                  <c:v>FF MASONRY</c:v>
                </c:pt>
                <c:pt idx="4">
                  <c:v>I INSULATION</c:v>
                </c:pt>
                <c:pt idx="5">
                  <c:v>QQ ROOFING AND SIDING</c:v>
                </c:pt>
                <c:pt idx="6">
                  <c:v>RR WALLBOARD &amp; HOUSEWRAP</c:v>
                </c:pt>
                <c:pt idx="7">
                  <c:v>T TIMBERTECH &amp; TREX</c:v>
                </c:pt>
                <c:pt idx="8">
                  <c:v>TT WALKWAYS</c:v>
                </c:pt>
                <c:pt idx="9">
                  <c:v>W WOLF DECKING &amp; RAILS</c:v>
                </c:pt>
              </c:strCache>
            </c:strRef>
          </c:cat>
          <c:val>
            <c:numRef>
              <c:f>('BM -ALL- Stock'!$U$4,'BM -ALL- Stock'!$U$7,'BM -ALL- Stock'!$U$10,'BM -ALL- Stock'!$U$13,'BM -ALL- Stock'!$U$16,'BM -ALL- Stock'!$U$19,'BM -ALL- Stock'!$U$22,'BM -ALL- Stock'!$U$25,'BM -ALL- Stock'!$U$28,'BM -ALL- Stock'!$U$31)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5393-47EC-9600-29436F22C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Inv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All'!$D$2,'L - All'!$D$5,'L - All'!$D$8,'L - All'!$D$11,'L - All'!$D$14,'L - All'!$D$17,'L - All'!$D$20,'L - All'!$D$23,'L - All'!$D$26,'L - All'!$D$29)</c:f>
              <c:numCache>
                <c:formatCode>\$#,##0.00</c:formatCode>
                <c:ptCount val="10"/>
                <c:pt idx="0">
                  <c:v>2619.0100000000002</c:v>
                </c:pt>
                <c:pt idx="1">
                  <c:v>42602.51</c:v>
                </c:pt>
                <c:pt idx="2">
                  <c:v>9466.2000000000007</c:v>
                </c:pt>
                <c:pt idx="3">
                  <c:v>33654.22</c:v>
                </c:pt>
                <c:pt idx="4">
                  <c:v>12724.94</c:v>
                </c:pt>
                <c:pt idx="5">
                  <c:v>17003.97</c:v>
                </c:pt>
                <c:pt idx="6">
                  <c:v>28034.400000000001</c:v>
                </c:pt>
                <c:pt idx="7">
                  <c:v>4508.78</c:v>
                </c:pt>
                <c:pt idx="8">
                  <c:v>199.81</c:v>
                </c:pt>
                <c:pt idx="9">
                  <c:v>1811.29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A9-4BDD-8F9B-9A18E9FD3D7A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All'!$J$2,'L - All'!$J$5,'L - All'!$J$8,'L - All'!$J$11,'L - All'!$J$14,'L - All'!$J$17,'L - All'!$J$20,'L - All'!$J$23,'L - All'!$J$26,'L - All'!$J$29)</c:f>
              <c:numCache>
                <c:formatCode>\$#,##0.00</c:formatCode>
                <c:ptCount val="10"/>
                <c:pt idx="0">
                  <c:v>2302.56</c:v>
                </c:pt>
                <c:pt idx="1">
                  <c:v>40995.379999999997</c:v>
                </c:pt>
                <c:pt idx="2">
                  <c:v>9012.52</c:v>
                </c:pt>
                <c:pt idx="3">
                  <c:v>31876.41</c:v>
                </c:pt>
                <c:pt idx="4">
                  <c:v>11256.89</c:v>
                </c:pt>
                <c:pt idx="5">
                  <c:v>18124.47</c:v>
                </c:pt>
                <c:pt idx="6">
                  <c:v>19030.59</c:v>
                </c:pt>
                <c:pt idx="7">
                  <c:v>169.88</c:v>
                </c:pt>
                <c:pt idx="8">
                  <c:v>0</c:v>
                </c:pt>
                <c:pt idx="9">
                  <c:v>1063.01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A9-4BDD-8F9B-9A18E9FD3D7A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All'!$Q$2,'L - All'!$Q$5,'L - All'!$Q$8,'L - All'!$Q$11,'L - All'!$Q$14,'L - All'!$Q$17,'L - All'!$Q$20,'L - All'!$Q$23,'L - All'!$Q$26,'L - All'!$Q$29)</c:f>
              <c:numCache>
                <c:formatCode>\$#,##0.00</c:formatCode>
                <c:ptCount val="10"/>
                <c:pt idx="0">
                  <c:v>1886.01</c:v>
                </c:pt>
                <c:pt idx="1">
                  <c:v>19253.61</c:v>
                </c:pt>
                <c:pt idx="2">
                  <c:v>4728.49</c:v>
                </c:pt>
                <c:pt idx="3">
                  <c:v>29409.08</c:v>
                </c:pt>
                <c:pt idx="4">
                  <c:v>8544.6</c:v>
                </c:pt>
                <c:pt idx="5">
                  <c:v>22190.18</c:v>
                </c:pt>
                <c:pt idx="6">
                  <c:v>25375.759999999998</c:v>
                </c:pt>
                <c:pt idx="7">
                  <c:v>142.19999999999999</c:v>
                </c:pt>
                <c:pt idx="8">
                  <c:v>39.700000000000003</c:v>
                </c:pt>
                <c:pt idx="9">
                  <c:v>828.32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4A9-4BDD-8F9B-9A18E9FD3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Inv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All'!$D$3,'L - All'!$D$6,'L - All'!$D$9,'L - All'!$D$12,'L - All'!$D$15,'L - All'!$D$18,'L - All'!$D$21,'L - All'!$D$24,'L - All'!$D$27,'L - All'!$D$30)</c:f>
              <c:numCache>
                <c:formatCode>\$#,##0.00</c:formatCode>
                <c:ptCount val="10"/>
                <c:pt idx="0">
                  <c:v>6480.86</c:v>
                </c:pt>
                <c:pt idx="1">
                  <c:v>96337.35</c:v>
                </c:pt>
                <c:pt idx="2">
                  <c:v>331.8</c:v>
                </c:pt>
                <c:pt idx="3">
                  <c:v>59451.09</c:v>
                </c:pt>
                <c:pt idx="4">
                  <c:v>29400.75</c:v>
                </c:pt>
                <c:pt idx="5">
                  <c:v>51658.27</c:v>
                </c:pt>
                <c:pt idx="6">
                  <c:v>59458.06</c:v>
                </c:pt>
                <c:pt idx="7">
                  <c:v>18521.75</c:v>
                </c:pt>
                <c:pt idx="8">
                  <c:v>861.67</c:v>
                </c:pt>
                <c:pt idx="9">
                  <c:v>30534.87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98-407A-B027-896D57D742E2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All'!$J$3,'L - All'!$J$6,'L - All'!$J$9,'L - All'!$J$12,'L - All'!$J$15,'L - All'!$J$18,'L - All'!$J$21,'L - All'!$J$24,'L - All'!$J$27,'L - All'!$J$30)</c:f>
              <c:numCache>
                <c:formatCode>\$#,##0.00</c:formatCode>
                <c:ptCount val="10"/>
                <c:pt idx="0">
                  <c:v>7481.5</c:v>
                </c:pt>
                <c:pt idx="1">
                  <c:v>149960.95999999999</c:v>
                </c:pt>
                <c:pt idx="2">
                  <c:v>579.32000000000005</c:v>
                </c:pt>
                <c:pt idx="3">
                  <c:v>74171.39</c:v>
                </c:pt>
                <c:pt idx="4">
                  <c:v>26700.65</c:v>
                </c:pt>
                <c:pt idx="5">
                  <c:v>55898.61</c:v>
                </c:pt>
                <c:pt idx="6">
                  <c:v>84300.87</c:v>
                </c:pt>
                <c:pt idx="7">
                  <c:v>35130.129999999997</c:v>
                </c:pt>
                <c:pt idx="8">
                  <c:v>1777.93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98-407A-B027-896D57D742E2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All'!$Q$3,'L - All'!$Q$6,'L - All'!$Q$9,'L - All'!$Q$12,'L - All'!$Q$15,'L - All'!$Q$18,'L - All'!$Q$21,'L - All'!$Q$24,'L - All'!$Q$27,'L - All'!$Q$30)</c:f>
              <c:numCache>
                <c:formatCode>\$#,##0.00</c:formatCode>
                <c:ptCount val="10"/>
                <c:pt idx="0">
                  <c:v>7758.7</c:v>
                </c:pt>
                <c:pt idx="1">
                  <c:v>75749.2</c:v>
                </c:pt>
                <c:pt idx="2">
                  <c:v>29034.78</c:v>
                </c:pt>
                <c:pt idx="3">
                  <c:v>80297</c:v>
                </c:pt>
                <c:pt idx="4">
                  <c:v>39523.839999999997</c:v>
                </c:pt>
                <c:pt idx="5">
                  <c:v>62167.58</c:v>
                </c:pt>
                <c:pt idx="6">
                  <c:v>85163</c:v>
                </c:pt>
                <c:pt idx="7">
                  <c:v>93378.25</c:v>
                </c:pt>
                <c:pt idx="8">
                  <c:v>2337.7800000000002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98-407A-B027-896D57D742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Inv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All'!$D$4,'L - All'!$D$7,'L - All'!$D$10,'L - All'!$D$13,'L - All'!$D$16,'L - All'!$D$19,'L - All'!$D$22,'L - All'!$D$25,'L - All'!$D$28,'L - All'!$D$31)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183.66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C7-4864-85DF-E12660AA4FA9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All'!$J$4,'L - All'!$J$7,'L - All'!$J$10,'L - All'!$J$13,'L - All'!$J$16,'L - All'!$J$19,'L - All'!$J$22,'L - All'!$J$25,'L - All'!$J$28,'L - All'!$J$31)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183.66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C7-4864-85DF-E12660AA4FA9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All'!$Q$4,'L - All'!$Q$7,'L - All'!$Q$10,'L - All'!$Q$13,'L - All'!$Q$16,'L - All'!$Q$19,'L - All'!$Q$22,'L - All'!$Q$25,'L - All'!$Q$28,'L - All'!$Q$31)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C7-4864-85DF-E12660AA4F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Sales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All'!$G$2,'L - All'!$G$5,'L - All'!$G$8,'L - All'!$G$11,'L - All'!$G$14,'L - All'!$G$17,'L - All'!$G$20,'L - All'!$G$23,'L - All'!$G$26,'L - All'!$G$29)</c:f>
              <c:numCache>
                <c:formatCode>\$#,##0.00</c:formatCode>
                <c:ptCount val="10"/>
                <c:pt idx="0">
                  <c:v>39163.199999999997</c:v>
                </c:pt>
                <c:pt idx="1">
                  <c:v>517552.39</c:v>
                </c:pt>
                <c:pt idx="2">
                  <c:v>224083.29</c:v>
                </c:pt>
                <c:pt idx="3">
                  <c:v>559413.57999999996</c:v>
                </c:pt>
                <c:pt idx="4">
                  <c:v>120794.45</c:v>
                </c:pt>
                <c:pt idx="5">
                  <c:v>113863.55</c:v>
                </c:pt>
                <c:pt idx="6">
                  <c:v>476962.73</c:v>
                </c:pt>
                <c:pt idx="7">
                  <c:v>373953.58</c:v>
                </c:pt>
                <c:pt idx="8">
                  <c:v>0</c:v>
                </c:pt>
                <c:pt idx="9">
                  <c:v>7691.09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58-4232-AE80-B4DEDCA0E03A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All'!$M$2,'L - All'!$M$5,'L - All'!$M$8,'L - All'!$M$11,'L - All'!$M$14,'L - All'!$M$17,'L - All'!$M$20,'L - All'!$M$23,'L - All'!$M$26,'L - All'!$M$29)</c:f>
              <c:numCache>
                <c:formatCode>\$#,##0.00</c:formatCode>
                <c:ptCount val="10"/>
                <c:pt idx="0">
                  <c:v>37078.61</c:v>
                </c:pt>
                <c:pt idx="1">
                  <c:v>421508.73</c:v>
                </c:pt>
                <c:pt idx="2">
                  <c:v>118441.7</c:v>
                </c:pt>
                <c:pt idx="3">
                  <c:v>432879.64</c:v>
                </c:pt>
                <c:pt idx="4">
                  <c:v>101584.7</c:v>
                </c:pt>
                <c:pt idx="5">
                  <c:v>129373.25</c:v>
                </c:pt>
                <c:pt idx="6">
                  <c:v>513758.51</c:v>
                </c:pt>
                <c:pt idx="7">
                  <c:v>69241.14</c:v>
                </c:pt>
                <c:pt idx="8">
                  <c:v>630.4</c:v>
                </c:pt>
                <c:pt idx="9">
                  <c:v>2622.19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58-4232-AE80-B4DEDCA0E03A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All'!$T$2,'L - All'!$T$5,'L - All'!$T$8,'L - All'!$T$11,'L - All'!$T$14,'L - All'!$T$17,'L - All'!$T$20,'L - All'!$T$23,'L - All'!$T$26,'L - All'!$T$29)</c:f>
              <c:numCache>
                <c:formatCode>\$#,##0.00</c:formatCode>
                <c:ptCount val="10"/>
                <c:pt idx="0">
                  <c:v>39990.019999999997</c:v>
                </c:pt>
                <c:pt idx="1">
                  <c:v>497255.96</c:v>
                </c:pt>
                <c:pt idx="2">
                  <c:v>169548.62</c:v>
                </c:pt>
                <c:pt idx="3">
                  <c:v>527242.68000000005</c:v>
                </c:pt>
                <c:pt idx="4">
                  <c:v>97366.47</c:v>
                </c:pt>
                <c:pt idx="5">
                  <c:v>131513.26</c:v>
                </c:pt>
                <c:pt idx="6">
                  <c:v>479885.15</c:v>
                </c:pt>
                <c:pt idx="7">
                  <c:v>102502.85</c:v>
                </c:pt>
                <c:pt idx="8">
                  <c:v>1190.3599999999999</c:v>
                </c:pt>
                <c:pt idx="9">
                  <c:v>6211.57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D58-4232-AE80-B4DEDCA0E0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Sales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All'!$G$3,'L - All'!$G$6,'L - All'!$G$9,'L - All'!$G$12,'L - All'!$G$15,'L - All'!$G$18,'L - All'!$G$21,'L - All'!$G$24,'L - All'!$G$27,'L - All'!$G$30)</c:f>
              <c:numCache>
                <c:formatCode>\$#,##0.00</c:formatCode>
                <c:ptCount val="10"/>
                <c:pt idx="0">
                  <c:v>11347.65</c:v>
                </c:pt>
                <c:pt idx="1">
                  <c:v>476255.37</c:v>
                </c:pt>
                <c:pt idx="2">
                  <c:v>84612.15</c:v>
                </c:pt>
                <c:pt idx="3">
                  <c:v>480639.78</c:v>
                </c:pt>
                <c:pt idx="4">
                  <c:v>222214</c:v>
                </c:pt>
                <c:pt idx="5">
                  <c:v>95814.86</c:v>
                </c:pt>
                <c:pt idx="6">
                  <c:v>676165.26</c:v>
                </c:pt>
                <c:pt idx="7">
                  <c:v>1559713.37</c:v>
                </c:pt>
                <c:pt idx="8">
                  <c:v>5510.32</c:v>
                </c:pt>
                <c:pt idx="9">
                  <c:v>68562.679999999993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2C-40FD-A726-2BE3DAD19C30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All'!$M$3,'L - All'!$M$6,'L - All'!$M$9,'L - All'!$M$12,'L - All'!$M$15,'L - All'!$M$18,'L - All'!$M$21,'L - All'!$M$24,'L - All'!$M$27,'L - All'!$M$30)</c:f>
              <c:numCache>
                <c:formatCode>\$#,##0.00</c:formatCode>
                <c:ptCount val="10"/>
                <c:pt idx="0">
                  <c:v>12723.5</c:v>
                </c:pt>
                <c:pt idx="1">
                  <c:v>577407.80000000005</c:v>
                </c:pt>
                <c:pt idx="2">
                  <c:v>209130.55</c:v>
                </c:pt>
                <c:pt idx="3">
                  <c:v>507518.71999999997</c:v>
                </c:pt>
                <c:pt idx="4">
                  <c:v>230138.2</c:v>
                </c:pt>
                <c:pt idx="5">
                  <c:v>104522.34</c:v>
                </c:pt>
                <c:pt idx="6">
                  <c:v>696493.07</c:v>
                </c:pt>
                <c:pt idx="7">
                  <c:v>2029197.41</c:v>
                </c:pt>
                <c:pt idx="8">
                  <c:v>7049.86</c:v>
                </c:pt>
                <c:pt idx="9">
                  <c:v>17762.41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C-40FD-A726-2BE3DAD19C30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All'!$T$3,'L - All'!$T$6,'L - All'!$T$9,'L - All'!$T$12,'L - All'!$T$15,'L - All'!$T$18,'L - All'!$T$21,'L - All'!$T$24,'L - All'!$T$27,'L - All'!$T$30)</c:f>
              <c:numCache>
                <c:formatCode>\$#,##0.00</c:formatCode>
                <c:ptCount val="10"/>
                <c:pt idx="0">
                  <c:v>11693.92</c:v>
                </c:pt>
                <c:pt idx="1">
                  <c:v>492328.02</c:v>
                </c:pt>
                <c:pt idx="2">
                  <c:v>204027.15</c:v>
                </c:pt>
                <c:pt idx="3">
                  <c:v>488941.98</c:v>
                </c:pt>
                <c:pt idx="4">
                  <c:v>298053.37</c:v>
                </c:pt>
                <c:pt idx="5">
                  <c:v>175727.97</c:v>
                </c:pt>
                <c:pt idx="6">
                  <c:v>688323.18</c:v>
                </c:pt>
                <c:pt idx="7">
                  <c:v>1535357.41</c:v>
                </c:pt>
                <c:pt idx="8">
                  <c:v>13497.78</c:v>
                </c:pt>
                <c:pt idx="9">
                  <c:v>26124.34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C2C-40FD-A726-2BE3DAD19C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Sales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All'!$G$4,'L - All'!$G$7,'L - All'!$G$10,'L - All'!$G$13,'L - All'!$G$16,'L - All'!$G$19,'L - All'!$G$22,'L - All'!$G$25,'L - All'!$G$28,'L - All'!$G$31)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78-4E6E-AE0E-B7DE47949578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All'!$M$4,'L - All'!$M$7,'L - All'!$M$10,'L - All'!$M$13,'L - All'!$M$16,'L - All'!$M$19,'L - All'!$M$22,'L - All'!$M$25,'L - All'!$M$28,'L - All'!$M$31)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78-4E6E-AE0E-B7DE47949578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All'!$T$4,'L - All'!$T$7,'L - All'!$T$10,'L - All'!$T$13,'L - All'!$T$16,'L - All'!$T$19,'L - All'!$T$22,'L - All'!$T$25,'L - All'!$T$28,'L - All'!$T$31)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378-4E6E-AE0E-B7DE47949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GP%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All'!$I$2,'L - All'!$I$5,'L - All'!$I$8,'L - All'!$I$11,'L - All'!$I$14,'L - All'!$I$17,'L - All'!$I$20,'L - All'!$I$23,'L - All'!$I$26,'L - All'!$I$29)</c:f>
              <c:numCache>
                <c:formatCode>0.0%</c:formatCode>
                <c:ptCount val="10"/>
                <c:pt idx="0">
                  <c:v>0.47899999999999998</c:v>
                </c:pt>
                <c:pt idx="1">
                  <c:v>0.32500000000000001</c:v>
                </c:pt>
                <c:pt idx="2">
                  <c:v>0.45500000000000002</c:v>
                </c:pt>
                <c:pt idx="3">
                  <c:v>0.35899999999999999</c:v>
                </c:pt>
                <c:pt idx="4">
                  <c:v>0.40899999999999997</c:v>
                </c:pt>
                <c:pt idx="5">
                  <c:v>0.46899999999999997</c:v>
                </c:pt>
                <c:pt idx="6">
                  <c:v>0.38800000000000001</c:v>
                </c:pt>
                <c:pt idx="7">
                  <c:v>0.22500000000000001</c:v>
                </c:pt>
                <c:pt idx="8">
                  <c:v>0</c:v>
                </c:pt>
                <c:pt idx="9">
                  <c:v>-0.45100000000000001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F3-4231-B48D-1F15B216320D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All'!$O$2,'L - All'!$O$5,'L - All'!$O$8,'L - All'!$O$11,'L - All'!$O$14,'L - All'!$O$17,'L - All'!$O$20,'L - All'!$O$23,'L - All'!$O$26,'L - All'!$O$29)</c:f>
              <c:numCache>
                <c:formatCode>0.0%</c:formatCode>
                <c:ptCount val="10"/>
                <c:pt idx="0">
                  <c:v>0.48399999999999999</c:v>
                </c:pt>
                <c:pt idx="1">
                  <c:v>0.27600000000000002</c:v>
                </c:pt>
                <c:pt idx="2">
                  <c:v>0.39600000000000002</c:v>
                </c:pt>
                <c:pt idx="3">
                  <c:v>0.29699999999999999</c:v>
                </c:pt>
                <c:pt idx="4">
                  <c:v>0.375</c:v>
                </c:pt>
                <c:pt idx="5">
                  <c:v>0.443</c:v>
                </c:pt>
                <c:pt idx="6">
                  <c:v>0.36499999999999999</c:v>
                </c:pt>
                <c:pt idx="7">
                  <c:v>0.24399999999999999</c:v>
                </c:pt>
                <c:pt idx="8">
                  <c:v>0.443</c:v>
                </c:pt>
                <c:pt idx="9">
                  <c:v>0.374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F3-4231-B48D-1F15B216320D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All'!$V$2,'L - All'!$V$5,'L - All'!$V$8,'L - All'!$V$11,'L - All'!$V$14,'L - All'!$V$17,'L - All'!$V$20,'L - All'!$V$23,'L - All'!$V$26,'L - All'!$V$29)</c:f>
              <c:numCache>
                <c:formatCode>0.0%</c:formatCode>
                <c:ptCount val="10"/>
                <c:pt idx="0">
                  <c:v>0.435</c:v>
                </c:pt>
                <c:pt idx="1">
                  <c:v>0.26100000000000001</c:v>
                </c:pt>
                <c:pt idx="2">
                  <c:v>0.35499999999999998</c:v>
                </c:pt>
                <c:pt idx="3">
                  <c:v>0.29299999999999998</c:v>
                </c:pt>
                <c:pt idx="4">
                  <c:v>0.376</c:v>
                </c:pt>
                <c:pt idx="5">
                  <c:v>0.42899999999999999</c:v>
                </c:pt>
                <c:pt idx="6">
                  <c:v>0.36699999999999999</c:v>
                </c:pt>
                <c:pt idx="7">
                  <c:v>0.24099999999999999</c:v>
                </c:pt>
                <c:pt idx="8">
                  <c:v>0.28699999999999998</c:v>
                </c:pt>
                <c:pt idx="9">
                  <c:v>0.36099999999999999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F3-4231-B48D-1F15B21632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GP%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All'!$I$3,'L - All'!$I$6,'L - All'!$I$9,'L - All'!$I$12,'L - All'!$I$15,'L - All'!$I$18,'L - All'!$I$21,'L - All'!$I$24,'L - All'!$I$27,'L - All'!$I$30)</c:f>
              <c:numCache>
                <c:formatCode>0.0%</c:formatCode>
                <c:ptCount val="10"/>
                <c:pt idx="0">
                  <c:v>0.55400000000000005</c:v>
                </c:pt>
                <c:pt idx="1">
                  <c:v>0.25600000000000001</c:v>
                </c:pt>
                <c:pt idx="2">
                  <c:v>0.26700000000000002</c:v>
                </c:pt>
                <c:pt idx="3">
                  <c:v>0.251</c:v>
                </c:pt>
                <c:pt idx="4">
                  <c:v>0.38300000000000001</c:v>
                </c:pt>
                <c:pt idx="5">
                  <c:v>0.34</c:v>
                </c:pt>
                <c:pt idx="6">
                  <c:v>0.32</c:v>
                </c:pt>
                <c:pt idx="7">
                  <c:v>0.20699999999999999</c:v>
                </c:pt>
                <c:pt idx="8">
                  <c:v>0.44500000000000001</c:v>
                </c:pt>
                <c:pt idx="9">
                  <c:v>0.113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D5-4EDD-8A4D-D4AD5F430B45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All'!$O$3,'L - All'!$O$6,'L - All'!$O$9,'L - All'!$O$12,'L - All'!$O$15,'L - All'!$O$18,'L - All'!$O$21,'L - All'!$O$24,'L - All'!$O$27,'L - All'!$O$30)</c:f>
              <c:numCache>
                <c:formatCode>0.0%</c:formatCode>
                <c:ptCount val="10"/>
                <c:pt idx="0">
                  <c:v>0.52</c:v>
                </c:pt>
                <c:pt idx="1">
                  <c:v>0.23200000000000001</c:v>
                </c:pt>
                <c:pt idx="2">
                  <c:v>0.218</c:v>
                </c:pt>
                <c:pt idx="3">
                  <c:v>0.22600000000000001</c:v>
                </c:pt>
                <c:pt idx="4">
                  <c:v>0.36699999999999999</c:v>
                </c:pt>
                <c:pt idx="5">
                  <c:v>0.35299999999999998</c:v>
                </c:pt>
                <c:pt idx="6">
                  <c:v>0.315</c:v>
                </c:pt>
                <c:pt idx="7">
                  <c:v>0.20300000000000001</c:v>
                </c:pt>
                <c:pt idx="8">
                  <c:v>0.375</c:v>
                </c:pt>
                <c:pt idx="9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D5-4EDD-8A4D-D4AD5F430B45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All'!$V$3,'L - All'!$V$6,'L - All'!$V$9,'L - All'!$V$12,'L - All'!$V$15,'L - All'!$V$18,'L - All'!$V$21,'L - All'!$V$24,'L - All'!$V$27,'L - All'!$V$30)</c:f>
              <c:numCache>
                <c:formatCode>0.0%</c:formatCode>
                <c:ptCount val="10"/>
                <c:pt idx="0">
                  <c:v>0.496</c:v>
                </c:pt>
                <c:pt idx="1">
                  <c:v>0.24099999999999999</c:v>
                </c:pt>
                <c:pt idx="2">
                  <c:v>0.249</c:v>
                </c:pt>
                <c:pt idx="3">
                  <c:v>0.25600000000000001</c:v>
                </c:pt>
                <c:pt idx="4">
                  <c:v>0.36199999999999999</c:v>
                </c:pt>
                <c:pt idx="5">
                  <c:v>0.30399999999999999</c:v>
                </c:pt>
                <c:pt idx="6">
                  <c:v>0.32100000000000001</c:v>
                </c:pt>
                <c:pt idx="7">
                  <c:v>0.20699999999999999</c:v>
                </c:pt>
                <c:pt idx="8">
                  <c:v>0.39</c:v>
                </c:pt>
                <c:pt idx="9">
                  <c:v>0.23899999999999999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D5-4EDD-8A4D-D4AD5F430B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Current Inv Total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v>Inv Value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FCA-4771-9F82-75CAF907FE4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FCA-4771-9F82-75CAF907FE4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FCA-4771-9F82-75CAF907FE4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FCA-4771-9F82-75CAF907FE4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FCA-4771-9F82-75CAF907FE4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FCA-4771-9F82-75CAF907FE4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('December 2025 - Dashboard'!$A$3,'December 2025 - Dashboard'!$A$6,'December 2025 - Dashboard'!$A$9,'December 2025 - Dashboard'!$A$12,'December 2025 - Dashboard'!$A$15,'December 2025 - Dashboard'!$A$18)</c:f>
              <c:strCache>
                <c:ptCount val="6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</c:strCache>
            </c:strRef>
          </c:cat>
          <c:val>
            <c:numRef>
              <c:f>('December 2025 - Dashboard'!$C$3,'December 2025 - Dashboard'!$C$6,'December 2025 - Dashboard'!$C$9,'December 2025 - Dashboard'!$C$12,'December 2025 - Dashboard'!$C$15,'December 2025 - Dashboard'!$C$18)</c:f>
              <c:numCache>
                <c:formatCode>"$"#,##0.00</c:formatCode>
                <c:ptCount val="6"/>
                <c:pt idx="0">
                  <c:v>468844.47000000003</c:v>
                </c:pt>
                <c:pt idx="1">
                  <c:v>505845.25999999995</c:v>
                </c:pt>
                <c:pt idx="2">
                  <c:v>170328.25</c:v>
                </c:pt>
                <c:pt idx="3">
                  <c:v>796976.03000000014</c:v>
                </c:pt>
                <c:pt idx="4">
                  <c:v>367255.09</c:v>
                </c:pt>
                <c:pt idx="5">
                  <c:v>168826.82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3A88-4203-B420-80466EA18E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301879423826835"/>
          <c:y val="0.10431783891202949"/>
          <c:w val="0.20585838214364893"/>
          <c:h val="0.31448545018829166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GP%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All'!$I$4,'L - All'!$I$7,'L - All'!$I$10,'L - All'!$I$13,'L - All'!$I$16,'L - All'!$I$19,'L - All'!$I$22,'L - All'!$I$25,'L - All'!$I$28,'L - All'!$I$31)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FD-431D-A694-2282BD555296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All'!$O$4,'L - All'!$O$7,'L - All'!$O$10,'L - All'!$O$13,'L - All'!$O$16,'L - All'!$O$19,'L - All'!$O$22,'L - All'!$O$25,'L - All'!$O$28,'L - All'!$O$31)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FD-431D-A694-2282BD555296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All'!$V$4,'L - All'!$V$7,'L - All'!$V$10,'L - All'!$V$13,'L - All'!$V$16,'L - All'!$V$19,'L - All'!$V$22,'L - All'!$V$25,'L - All'!$V$28,'L - All'!$V$31)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FD-431D-A694-2282BD555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GP$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All'!$H$2,'L - All'!$H$5,'L - All'!$H$8,'L - All'!$H$11,'L - All'!$H$14,'L - All'!$H$17,'L - All'!$H$20,'L - All'!$H$23,'L - All'!$H$26,'L - All'!$H$29)</c:f>
              <c:numCache>
                <c:formatCode>\$#,##0.00</c:formatCode>
                <c:ptCount val="10"/>
                <c:pt idx="0">
                  <c:v>18773.37</c:v>
                </c:pt>
                <c:pt idx="1">
                  <c:v>168031.12</c:v>
                </c:pt>
                <c:pt idx="2">
                  <c:v>101905.73</c:v>
                </c:pt>
                <c:pt idx="3">
                  <c:v>200550.88</c:v>
                </c:pt>
                <c:pt idx="4">
                  <c:v>49421.32</c:v>
                </c:pt>
                <c:pt idx="5">
                  <c:v>53353.48</c:v>
                </c:pt>
                <c:pt idx="6">
                  <c:v>185064.46</c:v>
                </c:pt>
                <c:pt idx="7">
                  <c:v>84062.68</c:v>
                </c:pt>
                <c:pt idx="8">
                  <c:v>0</c:v>
                </c:pt>
                <c:pt idx="9">
                  <c:v>-3469.73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E2-4675-AA0F-CF3406B2876B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All'!$N$2,'L - All'!$N$5,'L - All'!$N$8,'L - All'!$N$11,'L - All'!$N$14,'L - All'!$N$17,'L - All'!$N$20,'L - All'!$N$23,'L - All'!$N$26,'L - All'!$N$29)</c:f>
              <c:numCache>
                <c:formatCode>\$#,##0.00</c:formatCode>
                <c:ptCount val="10"/>
                <c:pt idx="0">
                  <c:v>17955.939999999999</c:v>
                </c:pt>
                <c:pt idx="1">
                  <c:v>116188.67</c:v>
                </c:pt>
                <c:pt idx="2">
                  <c:v>46894.25</c:v>
                </c:pt>
                <c:pt idx="3">
                  <c:v>128423.07</c:v>
                </c:pt>
                <c:pt idx="4">
                  <c:v>38129.129999999997</c:v>
                </c:pt>
                <c:pt idx="5">
                  <c:v>57319.88</c:v>
                </c:pt>
                <c:pt idx="6">
                  <c:v>187743.6</c:v>
                </c:pt>
                <c:pt idx="7">
                  <c:v>16888.41</c:v>
                </c:pt>
                <c:pt idx="8">
                  <c:v>279.49</c:v>
                </c:pt>
                <c:pt idx="9">
                  <c:v>979.39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E2-4675-AA0F-CF3406B2876B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All'!$B$2,'L - All'!$B$5,'L - All'!$B$8,'L - All'!$B$11,'L - All'!$B$14,'L - All'!$B$17,'L - All'!$B$20,'L - All'!$B$23,'L - All'!$B$26,'L - All'!$B$29)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All'!$U$2,'L - All'!$U$5,'L - All'!$U$8,'L - All'!$U$11,'L - All'!$U$14,'L - All'!$U$17,'L - All'!$U$20,'L - All'!$U$23,'L - All'!$U$26,'L - All'!$U$29)</c:f>
              <c:numCache>
                <c:formatCode>\$#,##0.00</c:formatCode>
                <c:ptCount val="10"/>
                <c:pt idx="0">
                  <c:v>17384.189999999999</c:v>
                </c:pt>
                <c:pt idx="1">
                  <c:v>129913.8</c:v>
                </c:pt>
                <c:pt idx="2">
                  <c:v>60241.919999999998</c:v>
                </c:pt>
                <c:pt idx="3">
                  <c:v>154457.99</c:v>
                </c:pt>
                <c:pt idx="4">
                  <c:v>36606.769999999997</c:v>
                </c:pt>
                <c:pt idx="5">
                  <c:v>56405.82</c:v>
                </c:pt>
                <c:pt idx="6">
                  <c:v>175968.01</c:v>
                </c:pt>
                <c:pt idx="7">
                  <c:v>24751.87</c:v>
                </c:pt>
                <c:pt idx="8">
                  <c:v>341.04</c:v>
                </c:pt>
                <c:pt idx="9">
                  <c:v>2242.92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E2-4675-AA0F-CF3406B287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</a:t>
            </a:r>
            <a:r>
              <a:rPr lang="en-US" baseline="0"/>
              <a:t> </a:t>
            </a:r>
            <a:r>
              <a:rPr lang="en-US"/>
              <a:t>GP$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All'!$H$3,'L - All'!$H$6,'L - All'!$H$9,'L - All'!$H$12,'L - All'!$H$15,'L - All'!$H$18,'L - All'!$H$21,'L - All'!$H$24,'L - All'!$H$27,'L - All'!$H$30)</c:f>
              <c:numCache>
                <c:formatCode>\$#,##0.00</c:formatCode>
                <c:ptCount val="10"/>
                <c:pt idx="0">
                  <c:v>6284.58</c:v>
                </c:pt>
                <c:pt idx="1">
                  <c:v>121813.58</c:v>
                </c:pt>
                <c:pt idx="2">
                  <c:v>22584.86</c:v>
                </c:pt>
                <c:pt idx="3">
                  <c:v>120573.56</c:v>
                </c:pt>
                <c:pt idx="4">
                  <c:v>85063.29</c:v>
                </c:pt>
                <c:pt idx="5">
                  <c:v>32594.86</c:v>
                </c:pt>
                <c:pt idx="6">
                  <c:v>216038.95</c:v>
                </c:pt>
                <c:pt idx="7">
                  <c:v>323156.11</c:v>
                </c:pt>
                <c:pt idx="8">
                  <c:v>2451.21</c:v>
                </c:pt>
                <c:pt idx="9">
                  <c:v>7731.55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6A-4586-88F4-5B3A484BA479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All'!$N$3,'L - All'!$N$6,'L - All'!$N$9,'L - All'!$N$12,'L - All'!$N$15,'L - All'!$N$18,'L - All'!$N$21,'L - All'!$N$24,'L - All'!$N$27,'L - All'!$N$30)</c:f>
              <c:numCache>
                <c:formatCode>\$#,##0.00</c:formatCode>
                <c:ptCount val="10"/>
                <c:pt idx="0">
                  <c:v>6611.5</c:v>
                </c:pt>
                <c:pt idx="1">
                  <c:v>133835.97</c:v>
                </c:pt>
                <c:pt idx="2">
                  <c:v>45518.32</c:v>
                </c:pt>
                <c:pt idx="3">
                  <c:v>114934.94</c:v>
                </c:pt>
                <c:pt idx="4">
                  <c:v>84394.37</c:v>
                </c:pt>
                <c:pt idx="5">
                  <c:v>36884.76</c:v>
                </c:pt>
                <c:pt idx="6">
                  <c:v>219260.77</c:v>
                </c:pt>
                <c:pt idx="7">
                  <c:v>411609.88</c:v>
                </c:pt>
                <c:pt idx="8">
                  <c:v>2642.49</c:v>
                </c:pt>
                <c:pt idx="9">
                  <c:v>4437.49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6A-4586-88F4-5B3A484BA479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All'!$B$3,'L - All'!$B$6,'L - All'!$B$9,'L - All'!$B$12,'L - All'!$B$15,'L - All'!$B$18,'L - All'!$B$21,'L - All'!$B$24,'L - All'!$B$27,'L - All'!$B$30)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All'!$U$3,'L - All'!$U$6,'L - All'!$U$9,'L - All'!$U$12,'L - All'!$U$15,'L - All'!$U$18,'L - All'!$U$21,'L - All'!$U$24,'L - All'!$U$27,'L - All'!$U$30)</c:f>
              <c:numCache>
                <c:formatCode>\$#,##0.00</c:formatCode>
                <c:ptCount val="10"/>
                <c:pt idx="0">
                  <c:v>5800.4</c:v>
                </c:pt>
                <c:pt idx="1">
                  <c:v>118780.07</c:v>
                </c:pt>
                <c:pt idx="2">
                  <c:v>50793.599999999999</c:v>
                </c:pt>
                <c:pt idx="3">
                  <c:v>124974.25</c:v>
                </c:pt>
                <c:pt idx="4">
                  <c:v>107859.76</c:v>
                </c:pt>
                <c:pt idx="5">
                  <c:v>53464.27</c:v>
                </c:pt>
                <c:pt idx="6">
                  <c:v>221170.81</c:v>
                </c:pt>
                <c:pt idx="7">
                  <c:v>317570.25</c:v>
                </c:pt>
                <c:pt idx="8">
                  <c:v>5260.79</c:v>
                </c:pt>
                <c:pt idx="9">
                  <c:v>6235.34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6A-4586-88F4-5B3A484BA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</a:t>
            </a:r>
            <a:r>
              <a:rPr lang="en-US" baseline="0"/>
              <a:t> </a:t>
            </a:r>
            <a:r>
              <a:rPr lang="en-US"/>
              <a:t>GP$ 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All'!$H$4,'L - All'!$H$7,'L - All'!$H$10,'L - All'!$H$13,'L - All'!$H$16,'L - All'!$H$19,'L - All'!$H$22,'L - All'!$H$25,'L - All'!$H$28,'L - All'!$H$31)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37-43EC-80CE-A3BC06196C16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All'!$N$4,'L - All'!$N$7,'L - All'!$N$10,'L - All'!$N$13,'L - All'!$N$16,'L - All'!$N$19,'L - All'!$N$22,'L - All'!$N$25,'L - All'!$N$28,'L - All'!$N$31)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37-43EC-80CE-A3BC06196C16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('L - All'!$B$4,'L - All'!$B$7,'L - All'!$B$10,'L - All'!$B$13,'L - All'!$B$16,'L - All'!$B$19,'L - All'!$B$22,'L - All'!$B$25,'L - All'!$B$28,'L - All'!$B$31)</c:f>
              <c:strCache>
                <c:ptCount val="10"/>
                <c:pt idx="0">
                  <c:v>ID INDUSTRIAL WOODS</c:v>
                </c:pt>
                <c:pt idx="1">
                  <c:v>LL PLYWOOD</c:v>
                </c:pt>
                <c:pt idx="2">
                  <c:v>ME ENGINEERED</c:v>
                </c:pt>
                <c:pt idx="3">
                  <c:v>MM FRAMING</c:v>
                </c:pt>
                <c:pt idx="4">
                  <c:v>NN SPRUCE &amp; 5/4</c:v>
                </c:pt>
                <c:pt idx="5">
                  <c:v>OO CEDAR</c:v>
                </c:pt>
                <c:pt idx="6">
                  <c:v>PP TREATED LUMBER</c:v>
                </c:pt>
                <c:pt idx="7">
                  <c:v>SL SPECIAL ORDER LUMBER</c:v>
                </c:pt>
                <c:pt idx="8">
                  <c:v>SS HARDWOODS</c:v>
                </c:pt>
                <c:pt idx="9">
                  <c:v>XL LUMBER DISCONTINUED</c:v>
                </c:pt>
              </c:strCache>
            </c:strRef>
          </c:cat>
          <c:val>
            <c:numRef>
              <c:f>('L - All'!$U$4,'L - All'!$U$7,'L - All'!$U$10,'L - All'!$U$13,'L - All'!$U$16,'L - All'!$U$19,'L - All'!$U$22,'L - All'!$U$25,'L - All'!$U$28,'L - All'!$U$31)</c:f>
              <c:numCache>
                <c:formatCode>\$#,##0.00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37-43EC-80CE-A3BC06196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Inv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All'!$D$2,'M - All'!$D$5,'M - All'!$D$8,'M - All'!$D$11,'M - All'!$D$14,'M - All'!$D$17,'M - All'!$D$20,'M - All'!$D$23,'M - All'!$D$26)</c:f>
              <c:numCache>
                <c:formatCode>\$#,##0.00</c:formatCode>
                <c:ptCount val="9"/>
                <c:pt idx="0">
                  <c:v>1570.78</c:v>
                </c:pt>
                <c:pt idx="1">
                  <c:v>20215.439999999999</c:v>
                </c:pt>
                <c:pt idx="2">
                  <c:v>150</c:v>
                </c:pt>
                <c:pt idx="3">
                  <c:v>981.32</c:v>
                </c:pt>
                <c:pt idx="4">
                  <c:v>6067.43</c:v>
                </c:pt>
                <c:pt idx="5">
                  <c:v>527.1</c:v>
                </c:pt>
                <c:pt idx="6">
                  <c:v>3259.93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0F-41DB-ABD1-01D2D7E252A2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All'!$J$2,'M - All'!$J$5,'M - All'!$J$8,'M - All'!$J$11,'M - All'!$J$14,'M - All'!$J$17,'M - All'!$J$20,'M - All'!$J$23,'M - All'!$J$26)</c:f>
              <c:numCache>
                <c:formatCode>\$#,##0.00</c:formatCode>
                <c:ptCount val="9"/>
                <c:pt idx="0">
                  <c:v>1808.67</c:v>
                </c:pt>
                <c:pt idx="1">
                  <c:v>19731.02</c:v>
                </c:pt>
                <c:pt idx="2">
                  <c:v>163</c:v>
                </c:pt>
                <c:pt idx="3">
                  <c:v>1073.47</c:v>
                </c:pt>
                <c:pt idx="4">
                  <c:v>5307.07</c:v>
                </c:pt>
                <c:pt idx="5">
                  <c:v>528.52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0F-41DB-ABD1-01D2D7E252A2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All'!$Q$2,'M - All'!$Q$5,'M - All'!$Q$8,'M - All'!$Q$11,'M - All'!$Q$14,'M - All'!$Q$17,'M - All'!$Q$20,'M - All'!$Q$23,'M - All'!$Q$26)</c:f>
              <c:numCache>
                <c:formatCode>\$#,##0.00</c:formatCode>
                <c:ptCount val="9"/>
                <c:pt idx="0">
                  <c:v>1095.44</c:v>
                </c:pt>
                <c:pt idx="1">
                  <c:v>18918.32</c:v>
                </c:pt>
                <c:pt idx="2">
                  <c:v>193.5</c:v>
                </c:pt>
                <c:pt idx="3">
                  <c:v>941.54</c:v>
                </c:pt>
                <c:pt idx="4">
                  <c:v>7378.49</c:v>
                </c:pt>
                <c:pt idx="5">
                  <c:v>382.54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E0F-41DB-ABD1-01D2D7E252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Inv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All'!$D$3,'M - All'!$D$6,'M - All'!$D$9,'M - All'!$D$12,'M - All'!$D$15,'M - All'!$D$18,'M - All'!$D$21,'M - All'!$D$24,'M - All'!$D$27)</c:f>
              <c:numCache>
                <c:formatCode>\$#,##0.00</c:formatCode>
                <c:ptCount val="9"/>
                <c:pt idx="0">
                  <c:v>5226.7299999999996</c:v>
                </c:pt>
                <c:pt idx="1">
                  <c:v>48729.51</c:v>
                </c:pt>
                <c:pt idx="2">
                  <c:v>313.01</c:v>
                </c:pt>
                <c:pt idx="3">
                  <c:v>1257.76</c:v>
                </c:pt>
                <c:pt idx="4">
                  <c:v>14822.48</c:v>
                </c:pt>
                <c:pt idx="5">
                  <c:v>40086.050000000003</c:v>
                </c:pt>
                <c:pt idx="6">
                  <c:v>18293.98</c:v>
                </c:pt>
                <c:pt idx="7">
                  <c:v>3058.35</c:v>
                </c:pt>
                <c:pt idx="8">
                  <c:v>5768.38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02-4383-AC4C-F0F2885965CA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All'!$J$3,'M - All'!$J$6,'M - All'!$J$9,'M - All'!$J$12,'M - All'!$J$15,'M - All'!$J$18,'M - All'!$J$21,'M - All'!$J$24,'M - All'!$J$27)</c:f>
              <c:numCache>
                <c:formatCode>\$#,##0.00</c:formatCode>
                <c:ptCount val="9"/>
                <c:pt idx="0">
                  <c:v>6816.23</c:v>
                </c:pt>
                <c:pt idx="1">
                  <c:v>55149.88</c:v>
                </c:pt>
                <c:pt idx="2">
                  <c:v>521.80999999999995</c:v>
                </c:pt>
                <c:pt idx="3">
                  <c:v>991.41</c:v>
                </c:pt>
                <c:pt idx="4">
                  <c:v>14054.1</c:v>
                </c:pt>
                <c:pt idx="5">
                  <c:v>123701.24</c:v>
                </c:pt>
                <c:pt idx="6">
                  <c:v>21649.47</c:v>
                </c:pt>
                <c:pt idx="7">
                  <c:v>11132.61</c:v>
                </c:pt>
                <c:pt idx="8">
                  <c:v>12566.78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02-4383-AC4C-F0F2885965CA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All'!$Q$3,'M - All'!$Q$6,'M - All'!$Q$9,'M - All'!$Q$12,'M - All'!$Q$15,'M - All'!$Q$18,'M - All'!$Q$21,'M - All'!$Q$24,'M - All'!$Q$27)</c:f>
              <c:numCache>
                <c:formatCode>\$#,##0.00</c:formatCode>
                <c:ptCount val="9"/>
                <c:pt idx="0">
                  <c:v>6525.9</c:v>
                </c:pt>
                <c:pt idx="1">
                  <c:v>55686.41</c:v>
                </c:pt>
                <c:pt idx="2">
                  <c:v>686.91</c:v>
                </c:pt>
                <c:pt idx="3">
                  <c:v>1747.08</c:v>
                </c:pt>
                <c:pt idx="4">
                  <c:v>19145.34</c:v>
                </c:pt>
                <c:pt idx="5">
                  <c:v>59301.86</c:v>
                </c:pt>
                <c:pt idx="6">
                  <c:v>19444.330000000002</c:v>
                </c:pt>
                <c:pt idx="7">
                  <c:v>6881.43</c:v>
                </c:pt>
                <c:pt idx="8">
                  <c:v>3865.77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02-4383-AC4C-F0F2885965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Inv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All'!$D$4,'M - All'!$D$7,'M - All'!$D$10,'M - All'!$D$13,'M - All'!$D$16,'M - All'!$D$19,'M - All'!$D$22,'M - All'!$D$25,'M - All'!$D$28)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DE-452B-A73E-22C0AE4C060F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All'!$J$4,'M - All'!$J$7,'M - All'!$J$10,'M - All'!$J$13,'M - All'!$J$16,'M - All'!$J$19,'M - All'!$J$22,'M - All'!$J$25,'M - All'!$J$28)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DE-452B-A73E-22C0AE4C060F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All'!$Q$4,'M - All'!$Q$7,'M - All'!$Q$10,'M - All'!$Q$13,'M - All'!$Q$16,'M - All'!$Q$19,'M - All'!$Q$22,'M - All'!$Q$25,'M - All'!$Q$28)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9DE-452B-A73E-22C0AE4C06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Sales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All'!$G$2,'M - All'!$G$5,'M - All'!$G$8,'M - All'!$G$11,'M - All'!$G$14,'M - All'!$G$17,'M - All'!$G$20,'M - All'!$G$23,'M - All'!$G$26)</c:f>
              <c:numCache>
                <c:formatCode>\$#,##0.00</c:formatCode>
                <c:ptCount val="9"/>
                <c:pt idx="0">
                  <c:v>5283.45</c:v>
                </c:pt>
                <c:pt idx="1">
                  <c:v>49722.2</c:v>
                </c:pt>
                <c:pt idx="2">
                  <c:v>194.89</c:v>
                </c:pt>
                <c:pt idx="3">
                  <c:v>2409.0700000000002</c:v>
                </c:pt>
                <c:pt idx="4">
                  <c:v>42441.87</c:v>
                </c:pt>
                <c:pt idx="5">
                  <c:v>74709.759999999995</c:v>
                </c:pt>
                <c:pt idx="6">
                  <c:v>21529.040000000001</c:v>
                </c:pt>
                <c:pt idx="7">
                  <c:v>29716.45</c:v>
                </c:pt>
                <c:pt idx="8">
                  <c:v>2073.1999999999998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25-45A3-B1FD-AE19912C8FEB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All'!$M$2,'M - All'!$M$5,'M - All'!$M$8,'M - All'!$M$11,'M - All'!$M$14,'M - All'!$M$17,'M - All'!$M$20,'M - All'!$M$23,'M - All'!$M$26)</c:f>
              <c:numCache>
                <c:formatCode>\$#,##0.00</c:formatCode>
                <c:ptCount val="9"/>
                <c:pt idx="0">
                  <c:v>5035.37</c:v>
                </c:pt>
                <c:pt idx="1">
                  <c:v>50492.4</c:v>
                </c:pt>
                <c:pt idx="2">
                  <c:v>269.87</c:v>
                </c:pt>
                <c:pt idx="3">
                  <c:v>3366.08</c:v>
                </c:pt>
                <c:pt idx="4">
                  <c:v>38036.71</c:v>
                </c:pt>
                <c:pt idx="5">
                  <c:v>38211.99</c:v>
                </c:pt>
                <c:pt idx="6">
                  <c:v>16640.68</c:v>
                </c:pt>
                <c:pt idx="7">
                  <c:v>17188.82</c:v>
                </c:pt>
                <c:pt idx="8">
                  <c:v>14.82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25-45A3-B1FD-AE19912C8FEB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All'!$T$2,'M - All'!$T$5,'M - All'!$T$8,'M - All'!$T$11,'M - All'!$T$14,'M - All'!$T$17,'M - All'!$T$20,'M - All'!$T$23,'M - All'!$T$26)</c:f>
              <c:numCache>
                <c:formatCode>\$#,##0.00</c:formatCode>
                <c:ptCount val="9"/>
                <c:pt idx="0">
                  <c:v>5531.73</c:v>
                </c:pt>
                <c:pt idx="1">
                  <c:v>48022.42</c:v>
                </c:pt>
                <c:pt idx="2">
                  <c:v>391.55</c:v>
                </c:pt>
                <c:pt idx="3">
                  <c:v>6442.17</c:v>
                </c:pt>
                <c:pt idx="4">
                  <c:v>42425.66</c:v>
                </c:pt>
                <c:pt idx="5">
                  <c:v>25695.599999999999</c:v>
                </c:pt>
                <c:pt idx="6">
                  <c:v>8735.01</c:v>
                </c:pt>
                <c:pt idx="7">
                  <c:v>19070.009999999998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25-45A3-B1FD-AE19912C8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Sales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All'!$G$3,'M - All'!$G$6,'M - All'!$G$9,'M - All'!$G$12,'M - All'!$G$15,'M - All'!$G$18,'M - All'!$G$21,'M - All'!$G$24,'M - All'!$G$27)</c:f>
              <c:numCache>
                <c:formatCode>\$#,##0.00</c:formatCode>
                <c:ptCount val="9"/>
                <c:pt idx="0">
                  <c:v>9310.51</c:v>
                </c:pt>
                <c:pt idx="1">
                  <c:v>17693.48</c:v>
                </c:pt>
                <c:pt idx="2">
                  <c:v>119.31</c:v>
                </c:pt>
                <c:pt idx="3">
                  <c:v>6902.37</c:v>
                </c:pt>
                <c:pt idx="4">
                  <c:v>84722.02</c:v>
                </c:pt>
                <c:pt idx="5">
                  <c:v>1409678.57</c:v>
                </c:pt>
                <c:pt idx="6">
                  <c:v>585460.99</c:v>
                </c:pt>
                <c:pt idx="7">
                  <c:v>363023.72</c:v>
                </c:pt>
                <c:pt idx="8">
                  <c:v>158600.64000000001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D0-4BF3-8C3B-A4DCC657164E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All'!$M$3,'M - All'!$M$6,'M - All'!$M$9,'M - All'!$M$12,'M - All'!$M$15,'M - All'!$M$18,'M - All'!$M$21,'M - All'!$M$24,'M - All'!$M$27)</c:f>
              <c:numCache>
                <c:formatCode>\$#,##0.00</c:formatCode>
                <c:ptCount val="9"/>
                <c:pt idx="0">
                  <c:v>10618.43</c:v>
                </c:pt>
                <c:pt idx="1">
                  <c:v>22589.78</c:v>
                </c:pt>
                <c:pt idx="2">
                  <c:v>282.69</c:v>
                </c:pt>
                <c:pt idx="3">
                  <c:v>1840.45</c:v>
                </c:pt>
                <c:pt idx="4">
                  <c:v>92435.72</c:v>
                </c:pt>
                <c:pt idx="5">
                  <c:v>1355354.83</c:v>
                </c:pt>
                <c:pt idx="6">
                  <c:v>600484.15</c:v>
                </c:pt>
                <c:pt idx="7">
                  <c:v>475237.38</c:v>
                </c:pt>
                <c:pt idx="8">
                  <c:v>150595.92000000001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D0-4BF3-8C3B-A4DCC657164E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All'!$T$3,'M - All'!$T$6,'M - All'!$T$9,'M - All'!$T$12,'M - All'!$T$15,'M - All'!$T$18,'M - All'!$T$21,'M - All'!$T$24,'M - All'!$T$27)</c:f>
              <c:numCache>
                <c:formatCode>\$#,##0.00</c:formatCode>
                <c:ptCount val="9"/>
                <c:pt idx="0">
                  <c:v>7674.07</c:v>
                </c:pt>
                <c:pt idx="1">
                  <c:v>24128.19</c:v>
                </c:pt>
                <c:pt idx="2">
                  <c:v>145.07</c:v>
                </c:pt>
                <c:pt idx="3">
                  <c:v>4434.6499999999996</c:v>
                </c:pt>
                <c:pt idx="4">
                  <c:v>121610.12</c:v>
                </c:pt>
                <c:pt idx="5">
                  <c:v>1231234.44</c:v>
                </c:pt>
                <c:pt idx="6">
                  <c:v>723144.71</c:v>
                </c:pt>
                <c:pt idx="7">
                  <c:v>389667.82</c:v>
                </c:pt>
                <c:pt idx="8">
                  <c:v>196461.17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D0-4BF3-8C3B-A4DCC6571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Sales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All'!$G$4,'M - All'!$G$7,'M - All'!$G$10,'M - All'!$G$13,'M - All'!$G$16,'M - All'!$G$19,'M - All'!$G$22,'M - All'!$G$25,'M - All'!$G$28)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83-4106-A518-070FEABC5F02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All'!$M$4,'M - All'!$M$7,'M - All'!$M$10,'M - All'!$M$13,'M - All'!$M$16,'M - All'!$M$19,'M - All'!$M$22,'M - All'!$M$25,'M - All'!$M$28)</c:f>
              <c:numCache>
                <c:formatCode>\$#,##0.00</c:formatCode>
                <c:ptCount val="9"/>
                <c:pt idx="0">
                  <c:v>0</c:v>
                </c:pt>
                <c:pt idx="1">
                  <c:v>48.2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83-4106-A518-070FEABC5F02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All'!$T$4,'M - All'!$T$7,'M - All'!$T$10,'M - All'!$T$13,'M - All'!$T$16,'M - All'!$T$19,'M - All'!$T$22,'M - All'!$T$25,'M - All'!$T$28)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183-4106-A518-070FEABC5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Inv Totals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203957969123171"/>
          <c:y val="0.10242238353181024"/>
          <c:w val="0.86209033342316665"/>
          <c:h val="0.62639681810749415"/>
        </c:manualLayout>
      </c:layout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('December 2025 - Dashboard'!$A$3,'December 2025 - Dashboard'!$A$6,'December 2025 - Dashboard'!$A$9,'December 2025 - Dashboard'!$A$12,'December 2025 - Dashboard'!$A$15,'December 2025 - Dashboard'!$A$18,'December 2025 -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('December 2025 - Dashboard'!$C$3,'December 2025 - Dashboard'!$C$6,'December 2025 - Dashboard'!$C$9,'December 2025 - Dashboard'!$C$12,'December 2025 - Dashboard'!$C$15,'December 2025 - Dashboard'!$C$18,'December 2025 - Dashboard'!$C$21)</c:f>
              <c:numCache>
                <c:formatCode>"$"#,##0.00</c:formatCode>
                <c:ptCount val="7"/>
                <c:pt idx="0">
                  <c:v>468844.47000000003</c:v>
                </c:pt>
                <c:pt idx="1">
                  <c:v>505845.25999999995</c:v>
                </c:pt>
                <c:pt idx="2">
                  <c:v>170328.25</c:v>
                </c:pt>
                <c:pt idx="3">
                  <c:v>796976.03000000014</c:v>
                </c:pt>
                <c:pt idx="4">
                  <c:v>367255.09</c:v>
                </c:pt>
                <c:pt idx="5">
                  <c:v>168826.82</c:v>
                </c:pt>
                <c:pt idx="6">
                  <c:v>2478075.92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CAA-46C2-9AFA-61AC6BFE7DB3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('December 2025 - Dashboard'!$A$3,'December 2025 - Dashboard'!$A$6,'December 2025 - Dashboard'!$A$9,'December 2025 - Dashboard'!$A$12,'December 2025 - Dashboard'!$A$15,'December 2025 - Dashboard'!$A$18,'December 2025 -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('December 2025 - Dashboard'!$O$3,'December 2025 - Dashboard'!$O$6,'December 2025 - Dashboard'!$O$9,'December 2025 - Dashboard'!$O$12,'December 2025 - Dashboard'!$O$15,'December 2025 - Dashboard'!$O$18,'December 2025 - Dashboard'!$O$21)</c:f>
              <c:numCache>
                <c:formatCode>"$"#,##0.00</c:formatCode>
                <c:ptCount val="7"/>
                <c:pt idx="0">
                  <c:v>455713.12000000005</c:v>
                </c:pt>
                <c:pt idx="1">
                  <c:v>570016.73000000021</c:v>
                </c:pt>
                <c:pt idx="2">
                  <c:v>275195.28000000003</c:v>
                </c:pt>
                <c:pt idx="3">
                  <c:v>709941.82999999984</c:v>
                </c:pt>
                <c:pt idx="4">
                  <c:v>378157.52</c:v>
                </c:pt>
                <c:pt idx="5">
                  <c:v>323421.22000000003</c:v>
                </c:pt>
                <c:pt idx="6">
                  <c:v>2712445.7000000007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CAA-46C2-9AFA-61AC6BFE7DB3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('December 2025 - Dashboard'!$A$3,'December 2025 - Dashboard'!$A$6,'December 2025 - Dashboard'!$A$9,'December 2025 - Dashboard'!$A$12,'December 2025 - Dashboard'!$A$15,'December 2025 - Dashboard'!$A$18,'December 2025 -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('December 2025 - Dashboard'!$AB$3,'December 2025 - Dashboard'!$AB$6,'December 2025 - Dashboard'!$AB$9,'December 2025 - Dashboard'!$AB$12,'December 2025 - Dashboard'!$AB$15,'December 2025 - Dashboard'!$AB$18,'December 2025 - Dashboard'!$AB$21)</c:f>
              <c:numCache>
                <c:formatCode>"$"#,##0.00</c:formatCode>
                <c:ptCount val="7"/>
                <c:pt idx="0">
                  <c:v>350887.11999999994</c:v>
                </c:pt>
                <c:pt idx="1">
                  <c:v>587808.07999999996</c:v>
                </c:pt>
                <c:pt idx="2">
                  <c:v>202194.86000000002</c:v>
                </c:pt>
                <c:pt idx="3">
                  <c:v>595173.90999999992</c:v>
                </c:pt>
                <c:pt idx="4">
                  <c:v>288426.12</c:v>
                </c:pt>
                <c:pt idx="5">
                  <c:v>330735.23</c:v>
                </c:pt>
                <c:pt idx="6">
                  <c:v>2355225.3199999998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CAA-46C2-9AFA-61AC6BFE7D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5263751"/>
        <c:axId val="1175269895"/>
      </c:barChart>
      <c:catAx>
        <c:axId val="1175263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9895"/>
        <c:crosses val="autoZero"/>
        <c:auto val="1"/>
        <c:lblAlgn val="ctr"/>
        <c:lblOffset val="100"/>
        <c:noMultiLvlLbl val="0"/>
      </c:catAx>
      <c:valAx>
        <c:axId val="1175269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375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GP%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All'!$I$2,'M - All'!$I$5,'M - All'!$I$8,'M - All'!$I$11,'M - All'!$I$14,'M - All'!$I$17,'M - All'!$I$20,'M - All'!$I$23,'M - All'!$I$26)</c:f>
              <c:numCache>
                <c:formatCode>0.0%</c:formatCode>
                <c:ptCount val="9"/>
                <c:pt idx="0">
                  <c:v>0.38600000000000001</c:v>
                </c:pt>
                <c:pt idx="1">
                  <c:v>0.39700000000000002</c:v>
                </c:pt>
                <c:pt idx="2">
                  <c:v>0.57799999999999996</c:v>
                </c:pt>
                <c:pt idx="3">
                  <c:v>0.39100000000000001</c:v>
                </c:pt>
                <c:pt idx="4">
                  <c:v>0.41799999999999998</c:v>
                </c:pt>
                <c:pt idx="5">
                  <c:v>0.246</c:v>
                </c:pt>
                <c:pt idx="6">
                  <c:v>0.23699999999999999</c:v>
                </c:pt>
                <c:pt idx="7">
                  <c:v>0.28799999999999998</c:v>
                </c:pt>
                <c:pt idx="8">
                  <c:v>0.20300000000000001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18-4AA2-A99D-12D7A04F8447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All'!$O$2,'M - All'!$O$5,'M - All'!$O$8,'M - All'!$O$11,'M - All'!$O$14,'M - All'!$O$17,'M - All'!$O$20,'M - All'!$O$23,'M - All'!$O$26)</c:f>
              <c:numCache>
                <c:formatCode>0.0%</c:formatCode>
                <c:ptCount val="9"/>
                <c:pt idx="0">
                  <c:v>0.36599999999999999</c:v>
                </c:pt>
                <c:pt idx="1">
                  <c:v>0.40300000000000002</c:v>
                </c:pt>
                <c:pt idx="2">
                  <c:v>0.35899999999999999</c:v>
                </c:pt>
                <c:pt idx="3">
                  <c:v>0.38300000000000001</c:v>
                </c:pt>
                <c:pt idx="4">
                  <c:v>0.41099999999999998</c:v>
                </c:pt>
                <c:pt idx="5">
                  <c:v>0.26</c:v>
                </c:pt>
                <c:pt idx="6">
                  <c:v>0.24099999999999999</c:v>
                </c:pt>
                <c:pt idx="7">
                  <c:v>0.223</c:v>
                </c:pt>
                <c:pt idx="8">
                  <c:v>0.23100000000000001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18-4AA2-A99D-12D7A04F8447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All'!$V$2,'M - All'!$V$5,'M - All'!$V$8,'M - All'!$V$11,'M - All'!$V$14,'M - All'!$V$17,'M - All'!$V$20,'M - All'!$V$23,'M - All'!$V$26)</c:f>
              <c:numCache>
                <c:formatCode>0.0%</c:formatCode>
                <c:ptCount val="9"/>
                <c:pt idx="0">
                  <c:v>0.38700000000000001</c:v>
                </c:pt>
                <c:pt idx="1">
                  <c:v>0.47299999999999998</c:v>
                </c:pt>
                <c:pt idx="2">
                  <c:v>0.44800000000000001</c:v>
                </c:pt>
                <c:pt idx="3">
                  <c:v>0.32600000000000001</c:v>
                </c:pt>
                <c:pt idx="4">
                  <c:v>0.39800000000000002</c:v>
                </c:pt>
                <c:pt idx="5">
                  <c:v>0.25600000000000001</c:v>
                </c:pt>
                <c:pt idx="6">
                  <c:v>0.24099999999999999</c:v>
                </c:pt>
                <c:pt idx="7">
                  <c:v>0.24099999999999999</c:v>
                </c:pt>
                <c:pt idx="8">
                  <c:v>-1.94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18-4AA2-A99D-12D7A04F84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GP%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All'!$I$3,'M - All'!$I$6,'M - All'!$I$9,'M - All'!$I$12,'M - All'!$I$15,'M - All'!$I$18,'M - All'!$I$21,'M - All'!$I$24,'M - All'!$I$27)</c:f>
              <c:numCache>
                <c:formatCode>0.0%</c:formatCode>
                <c:ptCount val="9"/>
                <c:pt idx="0">
                  <c:v>0.33100000000000002</c:v>
                </c:pt>
                <c:pt idx="1">
                  <c:v>0.34599999999999997</c:v>
                </c:pt>
                <c:pt idx="2">
                  <c:v>0.77</c:v>
                </c:pt>
                <c:pt idx="3">
                  <c:v>0.28299999999999997</c:v>
                </c:pt>
                <c:pt idx="4">
                  <c:v>0.378</c:v>
                </c:pt>
                <c:pt idx="5">
                  <c:v>0.18</c:v>
                </c:pt>
                <c:pt idx="6">
                  <c:v>0.221</c:v>
                </c:pt>
                <c:pt idx="7">
                  <c:v>0.23400000000000001</c:v>
                </c:pt>
                <c:pt idx="8">
                  <c:v>0.20799999999999999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26-4ABB-B8CE-039E58F3BB65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All'!$O$3,'M - All'!$O$6,'M - All'!$O$9,'M - All'!$O$12,'M - All'!$O$15,'M - All'!$O$18,'M - All'!$O$21,'M - All'!$O$24,'M - All'!$O$27)</c:f>
              <c:numCache>
                <c:formatCode>0.0%</c:formatCode>
                <c:ptCount val="9"/>
                <c:pt idx="0">
                  <c:v>0.315</c:v>
                </c:pt>
                <c:pt idx="1">
                  <c:v>0.35499999999999998</c:v>
                </c:pt>
                <c:pt idx="2">
                  <c:v>0.72</c:v>
                </c:pt>
                <c:pt idx="3">
                  <c:v>0.38500000000000001</c:v>
                </c:pt>
                <c:pt idx="4">
                  <c:v>0.40200000000000002</c:v>
                </c:pt>
                <c:pt idx="5">
                  <c:v>0.182</c:v>
                </c:pt>
                <c:pt idx="6">
                  <c:v>0.21199999999999999</c:v>
                </c:pt>
                <c:pt idx="7">
                  <c:v>0.21199999999999999</c:v>
                </c:pt>
                <c:pt idx="8">
                  <c:v>0.20499999999999999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26-4ABB-B8CE-039E58F3BB65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All'!$V$3,'M - All'!$V$6,'M - All'!$V$9,'M - All'!$V$12,'M - All'!$V$15,'M - All'!$V$18,'M - All'!$V$21,'M - All'!$V$24,'M - All'!$V$27)</c:f>
              <c:numCache>
                <c:formatCode>0.0%</c:formatCode>
                <c:ptCount val="9"/>
                <c:pt idx="0">
                  <c:v>0.377</c:v>
                </c:pt>
                <c:pt idx="1">
                  <c:v>0.30499999999999999</c:v>
                </c:pt>
                <c:pt idx="2">
                  <c:v>0.67400000000000004</c:v>
                </c:pt>
                <c:pt idx="3">
                  <c:v>0.28499999999999998</c:v>
                </c:pt>
                <c:pt idx="4">
                  <c:v>0.38600000000000001</c:v>
                </c:pt>
                <c:pt idx="5">
                  <c:v>0.156</c:v>
                </c:pt>
                <c:pt idx="6">
                  <c:v>0.216</c:v>
                </c:pt>
                <c:pt idx="7">
                  <c:v>0.24399999999999999</c:v>
                </c:pt>
                <c:pt idx="8">
                  <c:v>0.20499999999999999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26-4ABB-B8CE-039E58F3B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</a:t>
            </a:r>
            <a:r>
              <a:rPr lang="en-US" baseline="0"/>
              <a:t> Store</a:t>
            </a:r>
            <a:r>
              <a:rPr lang="en-US"/>
              <a:t> GP%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All'!$I$4,'M - All'!$I$7,'M - All'!$I$10,'M - All'!$I$13,'M - All'!$I$16,'M - All'!$I$19,'M - All'!$I$22,'M - All'!$I$25,'M - All'!$I$28)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51-4414-808D-455A51BEBF02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All'!$O$4,'M - All'!$O$7,'M - All'!$O$10,'M - All'!$O$13,'M - All'!$O$16,'M - All'!$O$19,'M - All'!$O$22,'M - All'!$O$25,'M - All'!$O$28)</c:f>
              <c:numCache>
                <c:formatCode>0.0%</c:formatCode>
                <c:ptCount val="9"/>
                <c:pt idx="0">
                  <c:v>0</c:v>
                </c:pt>
                <c:pt idx="1">
                  <c:v>0.53500000000000003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51-4414-808D-455A51BEBF02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All'!$V$4,'M - All'!$V$7,'M - All'!$V$10,'M - All'!$V$13,'M - All'!$V$16,'M - All'!$V$19,'M - All'!$V$22,'M - All'!$V$25,'M - All'!$V$28)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51-4414-808D-455A51BEB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GP$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All'!$H$2,'M - All'!$H$5,'M - All'!$H$8,'M - All'!$H$11,'M - All'!$H$14,'M - All'!$H$17,'M - All'!$H$20,'M - All'!$H$23,'M - All'!$H$26)</c:f>
              <c:numCache>
                <c:formatCode>\$#,##0.00</c:formatCode>
                <c:ptCount val="9"/>
                <c:pt idx="0">
                  <c:v>2038.37</c:v>
                </c:pt>
                <c:pt idx="1">
                  <c:v>19749.509999999998</c:v>
                </c:pt>
                <c:pt idx="2">
                  <c:v>112.57</c:v>
                </c:pt>
                <c:pt idx="3">
                  <c:v>940.92</c:v>
                </c:pt>
                <c:pt idx="4">
                  <c:v>17727.34</c:v>
                </c:pt>
                <c:pt idx="5">
                  <c:v>18414.25</c:v>
                </c:pt>
                <c:pt idx="6">
                  <c:v>5111.24</c:v>
                </c:pt>
                <c:pt idx="7">
                  <c:v>8549.9599999999991</c:v>
                </c:pt>
                <c:pt idx="8">
                  <c:v>420.85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64-4A79-8899-178264A8C9E5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All'!$N$2,'M - All'!$N$5,'M - All'!$N$8,'M - All'!$N$11,'M - All'!$N$14,'M - All'!$N$17,'M - All'!$N$20,'M - All'!$N$23,'M - All'!$N$26)</c:f>
              <c:numCache>
                <c:formatCode>\$#,##0.00</c:formatCode>
                <c:ptCount val="9"/>
                <c:pt idx="0">
                  <c:v>1843.21</c:v>
                </c:pt>
                <c:pt idx="1">
                  <c:v>20364.189999999999</c:v>
                </c:pt>
                <c:pt idx="2">
                  <c:v>96.84</c:v>
                </c:pt>
                <c:pt idx="3">
                  <c:v>1290.54</c:v>
                </c:pt>
                <c:pt idx="4">
                  <c:v>15635.87</c:v>
                </c:pt>
                <c:pt idx="5">
                  <c:v>9938.67</c:v>
                </c:pt>
                <c:pt idx="6">
                  <c:v>4015.25</c:v>
                </c:pt>
                <c:pt idx="7">
                  <c:v>3825.5</c:v>
                </c:pt>
                <c:pt idx="8">
                  <c:v>3.42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64-4A79-8899-178264A8C9E5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All'!$B$2,'M - All'!$B$5,'M - All'!$B$8,'M - All'!$B$11,'M - All'!$B$14,'M - All'!$B$17,'M - All'!$B$20,'M - All'!$B$23,'M - All'!$B$26)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All'!$U$2,'M - All'!$U$5,'M - All'!$U$8,'M - All'!$U$11,'M - All'!$U$14,'M - All'!$U$17,'M - All'!$U$20,'M - All'!$U$23,'M - All'!$U$26)</c:f>
              <c:numCache>
                <c:formatCode>\$#,##0.00</c:formatCode>
                <c:ptCount val="9"/>
                <c:pt idx="0">
                  <c:v>2142.17</c:v>
                </c:pt>
                <c:pt idx="1">
                  <c:v>22698.7</c:v>
                </c:pt>
                <c:pt idx="2">
                  <c:v>175.35</c:v>
                </c:pt>
                <c:pt idx="3">
                  <c:v>2103.13</c:v>
                </c:pt>
                <c:pt idx="4">
                  <c:v>16896.03</c:v>
                </c:pt>
                <c:pt idx="5">
                  <c:v>6566.63</c:v>
                </c:pt>
                <c:pt idx="6">
                  <c:v>2105.7800000000002</c:v>
                </c:pt>
                <c:pt idx="7">
                  <c:v>4602.3599999999997</c:v>
                </c:pt>
                <c:pt idx="8">
                  <c:v>-9.6999999999999993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64-4A79-8899-178264A8C9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</a:t>
            </a:r>
            <a:r>
              <a:rPr lang="en-US" baseline="0"/>
              <a:t> </a:t>
            </a:r>
            <a:r>
              <a:rPr lang="en-US"/>
              <a:t>GP$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All'!$H$3,'M - All'!$H$6,'M - All'!$H$9,'M - All'!$H$12,'M - All'!$H$15,'M - All'!$H$18,'M - All'!$H$21,'M - All'!$H$24,'M - All'!$H$27)</c:f>
              <c:numCache>
                <c:formatCode>\$#,##0.00</c:formatCode>
                <c:ptCount val="9"/>
                <c:pt idx="0">
                  <c:v>3080.59</c:v>
                </c:pt>
                <c:pt idx="1">
                  <c:v>6120.25</c:v>
                </c:pt>
                <c:pt idx="2">
                  <c:v>91.91</c:v>
                </c:pt>
                <c:pt idx="3">
                  <c:v>1950.55</c:v>
                </c:pt>
                <c:pt idx="4">
                  <c:v>32005.119999999999</c:v>
                </c:pt>
                <c:pt idx="5">
                  <c:v>253270.93</c:v>
                </c:pt>
                <c:pt idx="6">
                  <c:v>129095.03</c:v>
                </c:pt>
                <c:pt idx="7">
                  <c:v>85114.43</c:v>
                </c:pt>
                <c:pt idx="8">
                  <c:v>33029.339999999997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53-4155-B90E-0129082AB5CA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All'!$N$3,'M - All'!$N$6,'M - All'!$N$9,'M - All'!$N$12,'M - All'!$N$15,'M - All'!$N$18,'M - All'!$N$21,'M - All'!$N$24,'M - All'!$N$27)</c:f>
              <c:numCache>
                <c:formatCode>\$#,##0.00</c:formatCode>
                <c:ptCount val="9"/>
                <c:pt idx="0">
                  <c:v>3347.41</c:v>
                </c:pt>
                <c:pt idx="1">
                  <c:v>8013.84</c:v>
                </c:pt>
                <c:pt idx="2">
                  <c:v>203.64</c:v>
                </c:pt>
                <c:pt idx="3">
                  <c:v>709.37</c:v>
                </c:pt>
                <c:pt idx="4">
                  <c:v>37178.720000000001</c:v>
                </c:pt>
                <c:pt idx="5">
                  <c:v>246391.35</c:v>
                </c:pt>
                <c:pt idx="6">
                  <c:v>127069.62</c:v>
                </c:pt>
                <c:pt idx="7">
                  <c:v>100808.22</c:v>
                </c:pt>
                <c:pt idx="8">
                  <c:v>30904.05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53-4155-B90E-0129082AB5CA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All'!$B$3,'M - All'!$B$6,'M - All'!$B$9,'M - All'!$B$12,'M - All'!$B$15,'M - All'!$B$18,'M - All'!$B$21,'M - All'!$B$24,'M - All'!$B$27)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All'!$U$3,'M - All'!$U$6,'M - All'!$U$9,'M - All'!$U$12,'M - All'!$U$15,'M - All'!$U$18,'M - All'!$U$21,'M - All'!$U$24,'M - All'!$U$27)</c:f>
              <c:numCache>
                <c:formatCode>\$#,##0.00</c:formatCode>
                <c:ptCount val="9"/>
                <c:pt idx="0">
                  <c:v>2893.14</c:v>
                </c:pt>
                <c:pt idx="1">
                  <c:v>7368.57</c:v>
                </c:pt>
                <c:pt idx="2">
                  <c:v>97.73</c:v>
                </c:pt>
                <c:pt idx="3">
                  <c:v>1262.82</c:v>
                </c:pt>
                <c:pt idx="4">
                  <c:v>46957.19</c:v>
                </c:pt>
                <c:pt idx="5">
                  <c:v>192656.18</c:v>
                </c:pt>
                <c:pt idx="6">
                  <c:v>155919.23000000001</c:v>
                </c:pt>
                <c:pt idx="7">
                  <c:v>95185.95</c:v>
                </c:pt>
                <c:pt idx="8">
                  <c:v>40304.980000000003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53-4155-B90E-0129082AB5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</a:t>
            </a:r>
            <a:r>
              <a:rPr lang="en-US" baseline="0"/>
              <a:t> </a:t>
            </a:r>
            <a:r>
              <a:rPr lang="en-US"/>
              <a:t>GP$ 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All'!$H$4,'M - All'!$H$7,'M - All'!$H$10,'M - All'!$H$13,'M - All'!$H$16,'M - All'!$H$19,'M - All'!$H$22,'M - All'!$H$25,'M - All'!$H$28)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1B-484A-A6FC-8F6A653AFB13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All'!$N$4,'M - All'!$N$7,'M - All'!$N$10,'M - All'!$N$13,'M - All'!$N$16,'M - All'!$N$19,'M - All'!$N$22,'M - All'!$N$25,'M - All'!$N$28)</c:f>
              <c:numCache>
                <c:formatCode>\$#,##0.00</c:formatCode>
                <c:ptCount val="9"/>
                <c:pt idx="0">
                  <c:v>0</c:v>
                </c:pt>
                <c:pt idx="1">
                  <c:v>25.8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1B-484A-A6FC-8F6A653AFB13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('M - All'!$B$4,'M - All'!$B$7,'M - All'!$B$10,'M - All'!$B$13,'M - All'!$B$16,'M - All'!$B$19,'M - All'!$B$22,'M - All'!$B$25,'M - All'!$B$28)</c:f>
              <c:strCache>
                <c:ptCount val="9"/>
                <c:pt idx="0">
                  <c:v>CM CLEAR MOULDINGS</c:v>
                </c:pt>
                <c:pt idx="1">
                  <c:v>DD ANDERSEN HARDWARE &amp; SCREENS</c:v>
                </c:pt>
                <c:pt idx="2">
                  <c:v>HH DOORS-EXTERIOR (RES)</c:v>
                </c:pt>
                <c:pt idx="3">
                  <c:v>JJ MILLWORK MISC</c:v>
                </c:pt>
                <c:pt idx="4">
                  <c:v>KK MOULDING</c:v>
                </c:pt>
                <c:pt idx="5">
                  <c:v>SA SPECIAL ORDER ANDERSEN</c:v>
                </c:pt>
                <c:pt idx="6">
                  <c:v>SD SPECIAL ORDER DOORS</c:v>
                </c:pt>
                <c:pt idx="7">
                  <c:v>SM SPECIAL ORDER MILLWORK</c:v>
                </c:pt>
                <c:pt idx="8">
                  <c:v>SW SPECIAL ORDER WINDOWS</c:v>
                </c:pt>
              </c:strCache>
            </c:strRef>
          </c:cat>
          <c:val>
            <c:numRef>
              <c:f>('M - All'!$U$4,'M - All'!$U$7,'M - All'!$U$10,'M - All'!$U$13,'M - All'!$U$16,'M - All'!$U$19,'M - All'!$U$22,'M - All'!$U$25,'M - All'!$U$28)</c:f>
              <c:numCache>
                <c:formatCode>\$#,##0.00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1B-484A-A6FC-8F6A653A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Inv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All'!$D$2,'HW - All'!$D$5,'HW - All'!$D$8,'HW - All'!$D$11,'HW - All'!$D$14,'HW - All'!$D$17,'HW - All'!$D$20,'HW - All'!$D$23,'HW - All'!$D$26,'HW - All'!$D$29,'HW - All'!$D$32,'HW - All'!$D$35,'HW - All'!$D$38,'HW - All'!$D$41,'HW - All'!$D$44,'HW - All'!$D$47)</c:f>
              <c:numCache>
                <c:formatCode>\$#,##0.00</c:formatCode>
                <c:ptCount val="16"/>
                <c:pt idx="0">
                  <c:v>29586.73</c:v>
                </c:pt>
                <c:pt idx="1">
                  <c:v>116718.58</c:v>
                </c:pt>
                <c:pt idx="2">
                  <c:v>108388.85</c:v>
                </c:pt>
                <c:pt idx="3">
                  <c:v>66124.41</c:v>
                </c:pt>
                <c:pt idx="4">
                  <c:v>33801.32</c:v>
                </c:pt>
                <c:pt idx="5">
                  <c:v>39287.49</c:v>
                </c:pt>
                <c:pt idx="6">
                  <c:v>9551.4</c:v>
                </c:pt>
                <c:pt idx="7">
                  <c:v>19347.919999999998</c:v>
                </c:pt>
                <c:pt idx="8">
                  <c:v>8028.14</c:v>
                </c:pt>
                <c:pt idx="9">
                  <c:v>1557.41</c:v>
                </c:pt>
                <c:pt idx="10">
                  <c:v>98.31</c:v>
                </c:pt>
                <c:pt idx="11">
                  <c:v>3070.84</c:v>
                </c:pt>
                <c:pt idx="12">
                  <c:v>12043.41</c:v>
                </c:pt>
                <c:pt idx="13">
                  <c:v>0</c:v>
                </c:pt>
                <c:pt idx="14">
                  <c:v>8426.99</c:v>
                </c:pt>
                <c:pt idx="15">
                  <c:v>17989.689999999999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5D-4D11-B795-3BEF65A3180F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All'!$J$2,'HW - All'!$J$5,'HW - All'!$J$8,'HW - All'!$J$11,'HW - All'!$J$14,'HW - All'!$J$17,'HW - All'!$J$20,'HW - All'!$J$23,'HW - All'!$J$26,'HW - All'!$J$29,'HW - All'!$J$32,'HW - All'!$J$35,'HW - All'!$J$38,'HW - All'!$J$41,'HW - All'!$J$44,'HW - All'!$J$47)</c:f>
              <c:numCache>
                <c:formatCode>\$#,##0.00</c:formatCode>
                <c:ptCount val="16"/>
                <c:pt idx="0">
                  <c:v>28806.16</c:v>
                </c:pt>
                <c:pt idx="1">
                  <c:v>135090.46</c:v>
                </c:pt>
                <c:pt idx="2">
                  <c:v>90607.09</c:v>
                </c:pt>
                <c:pt idx="3">
                  <c:v>63469.5</c:v>
                </c:pt>
                <c:pt idx="4">
                  <c:v>23686.52</c:v>
                </c:pt>
                <c:pt idx="5">
                  <c:v>29851.22</c:v>
                </c:pt>
                <c:pt idx="6">
                  <c:v>6169.99</c:v>
                </c:pt>
                <c:pt idx="7">
                  <c:v>16252.84</c:v>
                </c:pt>
                <c:pt idx="8">
                  <c:v>8586.1299999999992</c:v>
                </c:pt>
                <c:pt idx="9">
                  <c:v>1386.79</c:v>
                </c:pt>
                <c:pt idx="10">
                  <c:v>963.28</c:v>
                </c:pt>
                <c:pt idx="11">
                  <c:v>5812.89</c:v>
                </c:pt>
                <c:pt idx="12">
                  <c:v>9592.26</c:v>
                </c:pt>
                <c:pt idx="13">
                  <c:v>0</c:v>
                </c:pt>
                <c:pt idx="14">
                  <c:v>-36.770000000000003</c:v>
                </c:pt>
                <c:pt idx="15">
                  <c:v>14201.45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5D-4D11-B795-3BEF65A3180F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All'!$Q$2,'HW - All'!$Q$5,'HW - All'!$Q$8,'HW - All'!$Q$11,'HW - All'!$Q$14,'HW - All'!$Q$17,'HW - All'!$Q$20,'HW - All'!$Q$23,'HW - All'!$Q$26,'HW - All'!$Q$29,'HW - All'!$Q$32,'HW - All'!$Q$35,'HW - All'!$Q$38,'HW - All'!$Q$41,'HW - All'!$Q$44,'HW - All'!$Q$47)</c:f>
              <c:numCache>
                <c:formatCode>\$#,##0.00</c:formatCode>
                <c:ptCount val="16"/>
                <c:pt idx="0">
                  <c:v>27736.34</c:v>
                </c:pt>
                <c:pt idx="1">
                  <c:v>138607.53</c:v>
                </c:pt>
                <c:pt idx="2">
                  <c:v>90710.05</c:v>
                </c:pt>
                <c:pt idx="3">
                  <c:v>55113.34</c:v>
                </c:pt>
                <c:pt idx="4">
                  <c:v>25576.98</c:v>
                </c:pt>
                <c:pt idx="5">
                  <c:v>16379.19</c:v>
                </c:pt>
                <c:pt idx="6">
                  <c:v>5904.09</c:v>
                </c:pt>
                <c:pt idx="7">
                  <c:v>12491.86</c:v>
                </c:pt>
                <c:pt idx="8">
                  <c:v>5630.51</c:v>
                </c:pt>
                <c:pt idx="9">
                  <c:v>430.51</c:v>
                </c:pt>
                <c:pt idx="10">
                  <c:v>312.08</c:v>
                </c:pt>
                <c:pt idx="11">
                  <c:v>8515.85</c:v>
                </c:pt>
                <c:pt idx="12">
                  <c:v>13170.13</c:v>
                </c:pt>
                <c:pt idx="13">
                  <c:v>0</c:v>
                </c:pt>
                <c:pt idx="14">
                  <c:v>-276.33</c:v>
                </c:pt>
                <c:pt idx="15">
                  <c:v>10782.67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5D-4D11-B795-3BEF65A31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Inv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All'!$D$3,'HW - All'!$D$6,'HW - All'!$D$9,'HW - All'!$D$12,'HW - All'!$D$15,'HW - All'!$D$18,'HW - All'!$D$21,'HW - All'!$D$24,'HW - All'!$D$27,'HW - All'!$D$30,'HW - All'!$D$33,'HW - All'!$D$36,'HW - All'!$D$39,'HW - All'!$D$42,'HW - All'!$D$45,'HW - All'!$D$48)</c:f>
              <c:numCache>
                <c:formatCode>\$#,##0.00</c:formatCode>
                <c:ptCount val="16"/>
                <c:pt idx="0">
                  <c:v>17133.87</c:v>
                </c:pt>
                <c:pt idx="1">
                  <c:v>43682.14</c:v>
                </c:pt>
                <c:pt idx="2">
                  <c:v>88025.42</c:v>
                </c:pt>
                <c:pt idx="3">
                  <c:v>52737.21</c:v>
                </c:pt>
                <c:pt idx="4">
                  <c:v>40966.120000000003</c:v>
                </c:pt>
                <c:pt idx="5">
                  <c:v>45506.1</c:v>
                </c:pt>
                <c:pt idx="6">
                  <c:v>7208.3</c:v>
                </c:pt>
                <c:pt idx="7">
                  <c:v>4535.71</c:v>
                </c:pt>
                <c:pt idx="8">
                  <c:v>5764.15</c:v>
                </c:pt>
                <c:pt idx="9">
                  <c:v>707.28</c:v>
                </c:pt>
                <c:pt idx="10">
                  <c:v>0</c:v>
                </c:pt>
                <c:pt idx="11">
                  <c:v>2715.91</c:v>
                </c:pt>
                <c:pt idx="12">
                  <c:v>5774.32</c:v>
                </c:pt>
                <c:pt idx="13">
                  <c:v>0</c:v>
                </c:pt>
                <c:pt idx="14">
                  <c:v>135.34</c:v>
                </c:pt>
                <c:pt idx="15">
                  <c:v>6710.41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F5-48DA-BD94-73824D2A6240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All'!$J$3,'HW - All'!$J$6,'HW - All'!$J$9,'HW - All'!$J$12,'HW - All'!$J$15,'HW - All'!$J$18,'HW - All'!$J$21,'HW - All'!$J$24,'HW - All'!$J$27,'HW - All'!$J$30,'HW - All'!$J$33,'HW - All'!$J$36,'HW - All'!$J$39,'HW - All'!$J$42,'HW - All'!$J$45,'HW - All'!$J$48)</c:f>
              <c:numCache>
                <c:formatCode>\$#,##0.00</c:formatCode>
                <c:ptCount val="16"/>
                <c:pt idx="0">
                  <c:v>18923.59</c:v>
                </c:pt>
                <c:pt idx="1">
                  <c:v>45053.16</c:v>
                </c:pt>
                <c:pt idx="2">
                  <c:v>91378.3</c:v>
                </c:pt>
                <c:pt idx="3">
                  <c:v>28554.9</c:v>
                </c:pt>
                <c:pt idx="4">
                  <c:v>22112.400000000001</c:v>
                </c:pt>
                <c:pt idx="5">
                  <c:v>28834.12</c:v>
                </c:pt>
                <c:pt idx="6">
                  <c:v>3650.78</c:v>
                </c:pt>
                <c:pt idx="7">
                  <c:v>7409.93</c:v>
                </c:pt>
                <c:pt idx="8">
                  <c:v>5681.44</c:v>
                </c:pt>
                <c:pt idx="9">
                  <c:v>976.9</c:v>
                </c:pt>
                <c:pt idx="10">
                  <c:v>4246.5600000000004</c:v>
                </c:pt>
                <c:pt idx="11">
                  <c:v>2226.8200000000002</c:v>
                </c:pt>
                <c:pt idx="12">
                  <c:v>7520.3</c:v>
                </c:pt>
                <c:pt idx="13">
                  <c:v>0</c:v>
                </c:pt>
                <c:pt idx="14">
                  <c:v>331.44</c:v>
                </c:pt>
                <c:pt idx="15">
                  <c:v>3539.1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F5-48DA-BD94-73824D2A6240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All'!$Q$3,'HW - All'!$Q$6,'HW - All'!$Q$9,'HW - All'!$Q$12,'HW - All'!$Q$15,'HW - All'!$Q$18,'HW - All'!$Q$21,'HW - All'!$Q$24,'HW - All'!$Q$27,'HW - All'!$Q$30,'HW - All'!$Q$33,'HW - All'!$Q$36,'HW - All'!$Q$39,'HW - All'!$Q$42,'HW - All'!$Q$45,'HW - All'!$Q$48)</c:f>
              <c:numCache>
                <c:formatCode>\$#,##0.00</c:formatCode>
                <c:ptCount val="16"/>
                <c:pt idx="0">
                  <c:v>9892.69</c:v>
                </c:pt>
                <c:pt idx="1">
                  <c:v>43702.86</c:v>
                </c:pt>
                <c:pt idx="2">
                  <c:v>68363.17</c:v>
                </c:pt>
                <c:pt idx="3">
                  <c:v>23723.74</c:v>
                </c:pt>
                <c:pt idx="4">
                  <c:v>5533.41</c:v>
                </c:pt>
                <c:pt idx="5">
                  <c:v>9805.42</c:v>
                </c:pt>
                <c:pt idx="6">
                  <c:v>1459.74</c:v>
                </c:pt>
                <c:pt idx="7">
                  <c:v>1176.97</c:v>
                </c:pt>
                <c:pt idx="8">
                  <c:v>1086.71</c:v>
                </c:pt>
                <c:pt idx="9">
                  <c:v>42.51</c:v>
                </c:pt>
                <c:pt idx="10">
                  <c:v>148.56</c:v>
                </c:pt>
                <c:pt idx="11">
                  <c:v>1609.3</c:v>
                </c:pt>
                <c:pt idx="12">
                  <c:v>10564.47</c:v>
                </c:pt>
                <c:pt idx="13">
                  <c:v>0</c:v>
                </c:pt>
                <c:pt idx="14">
                  <c:v>396.6</c:v>
                </c:pt>
                <c:pt idx="15">
                  <c:v>6582.96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F5-48DA-BD94-73824D2A6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Inv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All'!$D$4,'HW - All'!$D$7,'HW - All'!$D$10,'HW - All'!$D$13,'HW - All'!$D$16,'HW - All'!$D$19,'HW - All'!$D$22,'HW - All'!$D$25,'HW - All'!$D$28,'HW - All'!$D$31,'HW - All'!$D$34,'HW - All'!$D$37,'HW - All'!$D$40,'HW - All'!$D$43,'HW - All'!$D$46,'HW - All'!$D$49)</c:f>
              <c:numCache>
                <c:formatCode>\$#,##0.00</c:formatCode>
                <c:ptCount val="16"/>
                <c:pt idx="0">
                  <c:v>247.22</c:v>
                </c:pt>
                <c:pt idx="1">
                  <c:v>376.65</c:v>
                </c:pt>
                <c:pt idx="2">
                  <c:v>32.4</c:v>
                </c:pt>
                <c:pt idx="3">
                  <c:v>348.07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139.9</c:v>
                </c:pt>
                <c:pt idx="8">
                  <c:v>58.93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149.09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AD-4BE2-9723-CB9133E03DD5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All'!$J$4,'HW - All'!$J$7,'HW - All'!$J$10,'HW - All'!$J$13,'HW - All'!$J$16,'HW - All'!$J$19,'HW - All'!$J$22,'HW - All'!$J$25,'HW - All'!$J$28,'HW - All'!$J$31,'HW - All'!$J$34,'HW - All'!$J$37,'HW - All'!$J$40,'HW - All'!$J$43,'HW - All'!$J$46,'HW - All'!$J$49)</c:f>
              <c:numCache>
                <c:formatCode>\$#,##0.00</c:formatCode>
                <c:ptCount val="16"/>
                <c:pt idx="0">
                  <c:v>251.02</c:v>
                </c:pt>
                <c:pt idx="1">
                  <c:v>3389.77</c:v>
                </c:pt>
                <c:pt idx="2">
                  <c:v>36.229999999999997</c:v>
                </c:pt>
                <c:pt idx="3">
                  <c:v>256</c:v>
                </c:pt>
                <c:pt idx="4">
                  <c:v>-82.5</c:v>
                </c:pt>
                <c:pt idx="5">
                  <c:v>689.74</c:v>
                </c:pt>
                <c:pt idx="6">
                  <c:v>0</c:v>
                </c:pt>
                <c:pt idx="7">
                  <c:v>80.010000000000005</c:v>
                </c:pt>
                <c:pt idx="8">
                  <c:v>128.46</c:v>
                </c:pt>
                <c:pt idx="9">
                  <c:v>95</c:v>
                </c:pt>
                <c:pt idx="10">
                  <c:v>0.35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EAD-4BE2-9723-CB9133E03DD5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All'!$Q$4,'HW - All'!$Q$7,'HW - All'!$Q$10,'HW - All'!$Q$13,'HW - All'!$Q$16,'HW - All'!$Q$19,'HW - All'!$Q$22,'HW - All'!$Q$25,'HW - All'!$Q$28,'HW - All'!$Q$31,'HW - All'!$Q$34,'HW - All'!$Q$37,'HW - All'!$Q$40,'HW - All'!$Q$43,'HW - All'!$Q$46,'HW - All'!$Q$49)</c:f>
              <c:numCache>
                <c:formatCode>\$#,##0.00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EAD-4BE2-9723-CB9133E03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Sales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All'!$G$2,'HW - All'!$G$5,'HW - All'!$G$8,'HW - All'!$G$11,'HW - All'!$G$14,'HW - All'!$G$17,'HW - All'!$G$20,'HW - All'!$G$23,'HW - All'!$G$26,'HW - All'!$G$29,'HW - All'!$G$32,'HW - All'!$G$35,'HW - All'!$G$38,'HW - All'!$G$41,'HW - All'!$G$44,'HW - All'!$G$47)</c:f>
              <c:numCache>
                <c:formatCode>\$#,##0.00</c:formatCode>
                <c:ptCount val="16"/>
                <c:pt idx="0">
                  <c:v>109401.2</c:v>
                </c:pt>
                <c:pt idx="1">
                  <c:v>332540.53999999998</c:v>
                </c:pt>
                <c:pt idx="2">
                  <c:v>688458.55</c:v>
                </c:pt>
                <c:pt idx="3">
                  <c:v>322385.36</c:v>
                </c:pt>
                <c:pt idx="4">
                  <c:v>109373.2</c:v>
                </c:pt>
                <c:pt idx="5">
                  <c:v>62783.91</c:v>
                </c:pt>
                <c:pt idx="6">
                  <c:v>28204.2</c:v>
                </c:pt>
                <c:pt idx="7">
                  <c:v>104076.86</c:v>
                </c:pt>
                <c:pt idx="8">
                  <c:v>49883.25</c:v>
                </c:pt>
                <c:pt idx="9">
                  <c:v>6314.26</c:v>
                </c:pt>
                <c:pt idx="10">
                  <c:v>2038.86</c:v>
                </c:pt>
                <c:pt idx="11">
                  <c:v>14303.36</c:v>
                </c:pt>
                <c:pt idx="12">
                  <c:v>56752.98</c:v>
                </c:pt>
                <c:pt idx="13">
                  <c:v>0</c:v>
                </c:pt>
                <c:pt idx="14">
                  <c:v>208283.87</c:v>
                </c:pt>
                <c:pt idx="15">
                  <c:v>18109.810000000001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C3-4F10-B93C-C4A67BE90F1B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All'!$M$2,'HW - All'!$M$5,'HW - All'!$M$8,'HW - All'!$M$11,'HW - All'!$M$14,'HW - All'!$M$17,'HW - All'!$M$20,'HW - All'!$M$23,'HW - All'!$M$26,'HW - All'!$M$29,'HW - All'!$M$32,'HW - All'!$M$35,'HW - All'!$M$38,'HW - All'!$M$41,'HW - All'!$M$44,'HW - All'!$M$47)</c:f>
              <c:numCache>
                <c:formatCode>\$#,##0.00</c:formatCode>
                <c:ptCount val="16"/>
                <c:pt idx="0">
                  <c:v>110717.82</c:v>
                </c:pt>
                <c:pt idx="1">
                  <c:v>392130.04</c:v>
                </c:pt>
                <c:pt idx="2">
                  <c:v>694583.24</c:v>
                </c:pt>
                <c:pt idx="3">
                  <c:v>318155.31</c:v>
                </c:pt>
                <c:pt idx="4">
                  <c:v>70204.27</c:v>
                </c:pt>
                <c:pt idx="5">
                  <c:v>43468.29</c:v>
                </c:pt>
                <c:pt idx="6">
                  <c:v>22246.18</c:v>
                </c:pt>
                <c:pt idx="7">
                  <c:v>84472.88</c:v>
                </c:pt>
                <c:pt idx="8">
                  <c:v>51852.32</c:v>
                </c:pt>
                <c:pt idx="9">
                  <c:v>4446.66</c:v>
                </c:pt>
                <c:pt idx="10">
                  <c:v>25239.27</c:v>
                </c:pt>
                <c:pt idx="11">
                  <c:v>18414.73</c:v>
                </c:pt>
                <c:pt idx="12">
                  <c:v>37516.410000000003</c:v>
                </c:pt>
                <c:pt idx="13">
                  <c:v>0</c:v>
                </c:pt>
                <c:pt idx="14">
                  <c:v>153462.22</c:v>
                </c:pt>
                <c:pt idx="15">
                  <c:v>8728.0400000000009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C3-4F10-B93C-C4A67BE90F1B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All'!$T$2,'HW - All'!$T$5,'HW - All'!$T$8,'HW - All'!$T$11,'HW - All'!$T$14,'HW - All'!$T$17,'HW - All'!$T$20,'HW - All'!$T$23,'HW - All'!$T$26,'HW - All'!$T$29,'HW - All'!$T$32,'HW - All'!$T$35,'HW - All'!$T$38,'HW - All'!$T$41,'HW - All'!$T$44,'HW - All'!$T$47)</c:f>
              <c:numCache>
                <c:formatCode>\$#,##0.00</c:formatCode>
                <c:ptCount val="16"/>
                <c:pt idx="0">
                  <c:v>112325.27</c:v>
                </c:pt>
                <c:pt idx="1">
                  <c:v>404342.63</c:v>
                </c:pt>
                <c:pt idx="2">
                  <c:v>706840.3</c:v>
                </c:pt>
                <c:pt idx="3">
                  <c:v>349494.22</c:v>
                </c:pt>
                <c:pt idx="4">
                  <c:v>101666.03</c:v>
                </c:pt>
                <c:pt idx="5">
                  <c:v>52270.22</c:v>
                </c:pt>
                <c:pt idx="6">
                  <c:v>22901.32</c:v>
                </c:pt>
                <c:pt idx="7">
                  <c:v>83684.429999999993</c:v>
                </c:pt>
                <c:pt idx="8">
                  <c:v>29537.200000000001</c:v>
                </c:pt>
                <c:pt idx="9">
                  <c:v>1617.28</c:v>
                </c:pt>
                <c:pt idx="10">
                  <c:v>12755.59</c:v>
                </c:pt>
                <c:pt idx="11">
                  <c:v>16289.81</c:v>
                </c:pt>
                <c:pt idx="12">
                  <c:v>44207.89</c:v>
                </c:pt>
                <c:pt idx="13">
                  <c:v>0</c:v>
                </c:pt>
                <c:pt idx="14">
                  <c:v>170453.88</c:v>
                </c:pt>
                <c:pt idx="15">
                  <c:v>15481.71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BC3-4F10-B93C-C4A67BE90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Special Order GP%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('December 2025 - Dashboard'!$A$8,'December 2025 - Dashboard'!$A$11,'December 2025 - Dashboard'!$A$14,'December 2025 - Dashboard'!$A$17,'December 2025 - Dashboard'!$A$20)</c:f>
              <c:strCache>
                <c:ptCount val="5"/>
                <c:pt idx="0">
                  <c:v>L Special Order</c:v>
                </c:pt>
                <c:pt idx="1">
                  <c:v>M Special Order</c:v>
                </c:pt>
                <c:pt idx="2">
                  <c:v>HW Special Order</c:v>
                </c:pt>
                <c:pt idx="3">
                  <c:v>P Special Order</c:v>
                </c:pt>
                <c:pt idx="4">
                  <c:v>OL Special Order</c:v>
                </c:pt>
              </c:strCache>
            </c:strRef>
          </c:cat>
          <c:val>
            <c:numRef>
              <c:f>('December 2025 - Dashboard'!$K$8,'December 2025 - Dashboard'!$K$11,'December 2025 - Dashboard'!$K$14,'December 2025 - Dashboard'!$K$17,'December 2025 - Dashboard'!$K$20)</c:f>
              <c:numCache>
                <c:formatCode>0.0%</c:formatCode>
                <c:ptCount val="5"/>
                <c:pt idx="0">
                  <c:v>0.21059406843562178</c:v>
                </c:pt>
                <c:pt idx="1">
                  <c:v>0.20153038705265192</c:v>
                </c:pt>
                <c:pt idx="2">
                  <c:v>0.30698444983578999</c:v>
                </c:pt>
                <c:pt idx="3">
                  <c:v>0.17899779193236109</c:v>
                </c:pt>
                <c:pt idx="4">
                  <c:v>-0.61444362122477703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07-46BA-A901-077C16E63D8F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('December 2025 - Dashboard'!$A$8,'December 2025 - Dashboard'!$A$11,'December 2025 - Dashboard'!$A$14,'December 2025 - Dashboard'!$A$17,'December 2025 - Dashboard'!$A$20)</c:f>
              <c:strCache>
                <c:ptCount val="5"/>
                <c:pt idx="0">
                  <c:v>L Special Order</c:v>
                </c:pt>
                <c:pt idx="1">
                  <c:v>M Special Order</c:v>
                </c:pt>
                <c:pt idx="2">
                  <c:v>HW Special Order</c:v>
                </c:pt>
                <c:pt idx="3">
                  <c:v>P Special Order</c:v>
                </c:pt>
                <c:pt idx="4">
                  <c:v>OL Special Order</c:v>
                </c:pt>
              </c:strCache>
            </c:strRef>
          </c:cat>
          <c:val>
            <c:numRef>
              <c:f>('December 2025 - Dashboard'!$W$8,'December 2025 - Dashboard'!$W$11,'December 2025 - Dashboard'!$W$14,'December 2025 - Dashboard'!$W$17,'December 2025 - Dashboard'!$W$20)</c:f>
              <c:numCache>
                <c:formatCode>0.0%</c:formatCode>
                <c:ptCount val="5"/>
                <c:pt idx="0">
                  <c:v>0.20419863617164291</c:v>
                </c:pt>
                <c:pt idx="1">
                  <c:v>0.19706464405238977</c:v>
                </c:pt>
                <c:pt idx="2">
                  <c:v>0.28584351495339111</c:v>
                </c:pt>
                <c:pt idx="3">
                  <c:v>0.44365002423654865</c:v>
                </c:pt>
                <c:pt idx="4">
                  <c:v>0.37534612250211075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07-46BA-A901-077C16E63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9309319"/>
        <c:axId val="2123261447"/>
      </c:barChart>
      <c:catAx>
        <c:axId val="839309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3261447"/>
        <c:crosses val="autoZero"/>
        <c:auto val="1"/>
        <c:lblAlgn val="ctr"/>
        <c:lblOffset val="100"/>
        <c:noMultiLvlLbl val="0"/>
      </c:catAx>
      <c:valAx>
        <c:axId val="2123261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930931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Sales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All'!$G$3,'HW - All'!$G$6,'HW - All'!$G$9,'HW - All'!$G$12,'HW - All'!$G$15,'HW - All'!$G$18,'HW - All'!$G$21,'HW - All'!$G$24,'HW - All'!$G$27,'HW - All'!$G$30,'HW - All'!$G$33,'HW - All'!$G$36,'HW - All'!$G$39,'HW - All'!$G$42,'HW - All'!$G$45,'HW - All'!$G$48)</c:f>
              <c:numCache>
                <c:formatCode>\$#,##0.00</c:formatCode>
                <c:ptCount val="16"/>
                <c:pt idx="0">
                  <c:v>20900.8</c:v>
                </c:pt>
                <c:pt idx="1">
                  <c:v>44985.46</c:v>
                </c:pt>
                <c:pt idx="2">
                  <c:v>254451.7</c:v>
                </c:pt>
                <c:pt idx="3">
                  <c:v>77635.8</c:v>
                </c:pt>
                <c:pt idx="4">
                  <c:v>11784.15</c:v>
                </c:pt>
                <c:pt idx="5">
                  <c:v>16881.63</c:v>
                </c:pt>
                <c:pt idx="6">
                  <c:v>5349.63</c:v>
                </c:pt>
                <c:pt idx="7">
                  <c:v>4558.0600000000004</c:v>
                </c:pt>
                <c:pt idx="8">
                  <c:v>4307.97</c:v>
                </c:pt>
                <c:pt idx="9">
                  <c:v>574.91999999999996</c:v>
                </c:pt>
                <c:pt idx="10">
                  <c:v>1237.1300000000001</c:v>
                </c:pt>
                <c:pt idx="11">
                  <c:v>5743.11</c:v>
                </c:pt>
                <c:pt idx="12">
                  <c:v>26867.66</c:v>
                </c:pt>
                <c:pt idx="13">
                  <c:v>0</c:v>
                </c:pt>
                <c:pt idx="14">
                  <c:v>28799.8</c:v>
                </c:pt>
                <c:pt idx="15">
                  <c:v>4020.54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A7-43AE-97C1-19142C3DA56D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All'!$M$3,'HW - All'!$M$6,'HW - All'!$M$9,'HW - All'!$M$12,'HW - All'!$M$15,'HW - All'!$M$18,'HW - All'!$M$21,'HW - All'!$M$24,'HW - All'!$M$27,'HW - All'!$M$30,'HW - All'!$M$33,'HW - All'!$M$36,'HW - All'!$M$39,'HW - All'!$M$42,'HW - All'!$M$45,'HW - All'!$M$48)</c:f>
              <c:numCache>
                <c:formatCode>\$#,##0.00</c:formatCode>
                <c:ptCount val="16"/>
                <c:pt idx="0">
                  <c:v>19984.5</c:v>
                </c:pt>
                <c:pt idx="1">
                  <c:v>48427.839999999997</c:v>
                </c:pt>
                <c:pt idx="2">
                  <c:v>266277.49</c:v>
                </c:pt>
                <c:pt idx="3">
                  <c:v>55779.75</c:v>
                </c:pt>
                <c:pt idx="4">
                  <c:v>4155.1400000000003</c:v>
                </c:pt>
                <c:pt idx="5">
                  <c:v>8090.4</c:v>
                </c:pt>
                <c:pt idx="6">
                  <c:v>3859.61</c:v>
                </c:pt>
                <c:pt idx="7">
                  <c:v>4690.26</c:v>
                </c:pt>
                <c:pt idx="8">
                  <c:v>2094.5300000000002</c:v>
                </c:pt>
                <c:pt idx="9">
                  <c:v>695.16</c:v>
                </c:pt>
                <c:pt idx="10">
                  <c:v>21743.07</c:v>
                </c:pt>
                <c:pt idx="11">
                  <c:v>5736.41</c:v>
                </c:pt>
                <c:pt idx="12">
                  <c:v>28903.41</c:v>
                </c:pt>
                <c:pt idx="13">
                  <c:v>0</c:v>
                </c:pt>
                <c:pt idx="14">
                  <c:v>37676.07</c:v>
                </c:pt>
                <c:pt idx="15">
                  <c:v>1957.6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A7-43AE-97C1-19142C3DA56D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All'!$T$3,'HW - All'!$T$6,'HW - All'!$T$9,'HW - All'!$T$12,'HW - All'!$T$15,'HW - All'!$T$18,'HW - All'!$T$21,'HW - All'!$T$24,'HW - All'!$T$27,'HW - All'!$T$30,'HW - All'!$T$33,'HW - All'!$T$36,'HW - All'!$T$39,'HW - All'!$T$42,'HW - All'!$T$45,'HW - All'!$T$48)</c:f>
              <c:numCache>
                <c:formatCode>\$#,##0.00</c:formatCode>
                <c:ptCount val="16"/>
                <c:pt idx="0">
                  <c:v>22369.22</c:v>
                </c:pt>
                <c:pt idx="1">
                  <c:v>53384</c:v>
                </c:pt>
                <c:pt idx="2">
                  <c:v>253087.82</c:v>
                </c:pt>
                <c:pt idx="3">
                  <c:v>86561.17</c:v>
                </c:pt>
                <c:pt idx="4">
                  <c:v>2218.59</c:v>
                </c:pt>
                <c:pt idx="5">
                  <c:v>3908.98</c:v>
                </c:pt>
                <c:pt idx="6">
                  <c:v>944.32</c:v>
                </c:pt>
                <c:pt idx="7">
                  <c:v>7088.98</c:v>
                </c:pt>
                <c:pt idx="8">
                  <c:v>1100.4100000000001</c:v>
                </c:pt>
                <c:pt idx="9">
                  <c:v>14.98</c:v>
                </c:pt>
                <c:pt idx="10">
                  <c:v>588.20000000000005</c:v>
                </c:pt>
                <c:pt idx="11">
                  <c:v>2356.2199999999998</c:v>
                </c:pt>
                <c:pt idx="12">
                  <c:v>24798.97</c:v>
                </c:pt>
                <c:pt idx="13">
                  <c:v>0</c:v>
                </c:pt>
                <c:pt idx="14">
                  <c:v>24306.43</c:v>
                </c:pt>
                <c:pt idx="15">
                  <c:v>3875.67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A7-43AE-97C1-19142C3DA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Sales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All'!$G$4,'HW - All'!$G$7,'HW - All'!$G$10,'HW - All'!$G$13,'HW - All'!$G$16,'HW - All'!$G$19,'HW - All'!$G$22,'HW - All'!$G$25,'HW - All'!$G$28,'HW - All'!$G$31,'HW - All'!$G$34,'HW - All'!$G$37,'HW - All'!$G$40,'HW - All'!$G$43,'HW - All'!$G$46,'HW - All'!$G$49)</c:f>
              <c:numCache>
                <c:formatCode>\$#,##0.00</c:formatCode>
                <c:ptCount val="16"/>
                <c:pt idx="0">
                  <c:v>222.13</c:v>
                </c:pt>
                <c:pt idx="1">
                  <c:v>756.95</c:v>
                </c:pt>
                <c:pt idx="2">
                  <c:v>0</c:v>
                </c:pt>
                <c:pt idx="3">
                  <c:v>108.96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141.63</c:v>
                </c:pt>
                <c:pt idx="8">
                  <c:v>112.72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117.69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A0-4C6F-B2C2-82E3E6CF33FA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All'!$M$4,'HW - All'!$M$7,'HW - All'!$M$10,'HW - All'!$M$13,'HW - All'!$M$16,'HW - All'!$M$19,'HW - All'!$M$22,'HW - All'!$M$25,'HW - All'!$M$28,'HW - All'!$M$31,'HW - All'!$M$34,'HW - All'!$M$37,'HW - All'!$M$40,'HW - All'!$M$43,'HW - All'!$M$46,'HW - All'!$M$49)</c:f>
              <c:numCache>
                <c:formatCode>\$#,##0.00</c:formatCode>
                <c:ptCount val="16"/>
                <c:pt idx="0">
                  <c:v>271.69</c:v>
                </c:pt>
                <c:pt idx="1">
                  <c:v>1540.89</c:v>
                </c:pt>
                <c:pt idx="2">
                  <c:v>132.99</c:v>
                </c:pt>
                <c:pt idx="3">
                  <c:v>135.53</c:v>
                </c:pt>
                <c:pt idx="4">
                  <c:v>0</c:v>
                </c:pt>
                <c:pt idx="5">
                  <c:v>45.56</c:v>
                </c:pt>
                <c:pt idx="6">
                  <c:v>0</c:v>
                </c:pt>
                <c:pt idx="7">
                  <c:v>92.08</c:v>
                </c:pt>
                <c:pt idx="8">
                  <c:v>63.03</c:v>
                </c:pt>
                <c:pt idx="9">
                  <c:v>0</c:v>
                </c:pt>
                <c:pt idx="10">
                  <c:v>386.3</c:v>
                </c:pt>
                <c:pt idx="11">
                  <c:v>97.76</c:v>
                </c:pt>
                <c:pt idx="12">
                  <c:v>0</c:v>
                </c:pt>
                <c:pt idx="13">
                  <c:v>0</c:v>
                </c:pt>
                <c:pt idx="14">
                  <c:v>5.98</c:v>
                </c:pt>
                <c:pt idx="15">
                  <c:v>399.84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A0-4C6F-B2C2-82E3E6CF33FA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All'!$T$4,'HW - All'!$T$7,'HW - All'!$T$10,'HW - All'!$T$13,'HW - All'!$T$16,'HW - All'!$T$19,'HW - All'!$T$22,'HW - All'!$T$25,'HW - All'!$T$28,'HW - All'!$T$31,'HW - All'!$T$34,'HW - All'!$T$37,'HW - All'!$T$40,'HW - All'!$T$43,'HW - All'!$T$46,'HW - All'!$T$49)</c:f>
              <c:numCache>
                <c:formatCode>\$#,##0.00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DA0-4C6F-B2C2-82E3E6CF33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GP%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All'!$I$2,'HW - All'!$I$5,'HW - All'!$I$8,'HW - All'!$I$11,'HW - All'!$I$14,'HW - All'!$I$17,'HW - All'!$I$20,'HW - All'!$I$23,'HW - All'!$I$26,'HW - All'!$I$29,'HW - All'!$I$32,'HW - All'!$I$35,'HW - All'!$I$38,'HW - All'!$I$41,'HW - All'!$I$44,'HW - All'!$I$47)</c:f>
              <c:numCache>
                <c:formatCode>0.0%</c:formatCode>
                <c:ptCount val="16"/>
                <c:pt idx="0">
                  <c:v>0.39800000000000002</c:v>
                </c:pt>
                <c:pt idx="1">
                  <c:v>0.33400000000000002</c:v>
                </c:pt>
                <c:pt idx="2">
                  <c:v>0.436</c:v>
                </c:pt>
                <c:pt idx="3">
                  <c:v>0.36599999999999999</c:v>
                </c:pt>
                <c:pt idx="4">
                  <c:v>0.44900000000000001</c:v>
                </c:pt>
                <c:pt idx="5">
                  <c:v>0.503</c:v>
                </c:pt>
                <c:pt idx="6">
                  <c:v>0.42799999999999999</c:v>
                </c:pt>
                <c:pt idx="7">
                  <c:v>0.41599999999999998</c:v>
                </c:pt>
                <c:pt idx="8">
                  <c:v>0.42899999999999999</c:v>
                </c:pt>
                <c:pt idx="9">
                  <c:v>0.45100000000000001</c:v>
                </c:pt>
                <c:pt idx="10">
                  <c:v>2.8000000000000001E-2</c:v>
                </c:pt>
                <c:pt idx="11">
                  <c:v>0.39500000000000002</c:v>
                </c:pt>
                <c:pt idx="12">
                  <c:v>0.379</c:v>
                </c:pt>
                <c:pt idx="13">
                  <c:v>0</c:v>
                </c:pt>
                <c:pt idx="14">
                  <c:v>0.312</c:v>
                </c:pt>
                <c:pt idx="15">
                  <c:v>-8.7999999999999995E-2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36-4E16-874B-39B9D58B940E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All'!$O$2,'HW - All'!$O$5,'HW - All'!$O$8,'HW - All'!$O$11,'HW - All'!$O$14,'HW - All'!$O$17,'HW - All'!$O$20,'HW - All'!$O$23,'HW - All'!$O$26,'HW - All'!$O$29,'HW - All'!$O$32,'HW - All'!$O$35,'HW - All'!$O$38,'HW - All'!$O$41,'HW - All'!$O$44,'HW - All'!$O$47)</c:f>
              <c:numCache>
                <c:formatCode>0.0%</c:formatCode>
                <c:ptCount val="16"/>
                <c:pt idx="0">
                  <c:v>0.4</c:v>
                </c:pt>
                <c:pt idx="1">
                  <c:v>0.32200000000000001</c:v>
                </c:pt>
                <c:pt idx="2">
                  <c:v>0.44800000000000001</c:v>
                </c:pt>
                <c:pt idx="3">
                  <c:v>0.36299999999999999</c:v>
                </c:pt>
                <c:pt idx="4">
                  <c:v>0.44400000000000001</c:v>
                </c:pt>
                <c:pt idx="5">
                  <c:v>0.48499999999999999</c:v>
                </c:pt>
                <c:pt idx="6">
                  <c:v>0.35299999999999998</c:v>
                </c:pt>
                <c:pt idx="7">
                  <c:v>0.39500000000000002</c:v>
                </c:pt>
                <c:pt idx="8">
                  <c:v>0.41</c:v>
                </c:pt>
                <c:pt idx="9">
                  <c:v>0.47799999999999998</c:v>
                </c:pt>
                <c:pt idx="10">
                  <c:v>-2.7E-2</c:v>
                </c:pt>
                <c:pt idx="11">
                  <c:v>0.39700000000000002</c:v>
                </c:pt>
                <c:pt idx="12">
                  <c:v>0.33100000000000002</c:v>
                </c:pt>
                <c:pt idx="13">
                  <c:v>0</c:v>
                </c:pt>
                <c:pt idx="14">
                  <c:v>0.30399999999999999</c:v>
                </c:pt>
                <c:pt idx="15">
                  <c:v>0.496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36-4E16-874B-39B9D58B940E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All'!$V$2,'HW - All'!$V$5,'HW - All'!$V$8,'HW - All'!$V$11,'HW - All'!$V$14,'HW - All'!$V$17,'HW - All'!$V$20,'HW - All'!$V$23,'HW - All'!$V$26,'HW - All'!$V$29,'HW - All'!$V$32,'HW - All'!$V$35,'HW - All'!$V$38,'HW - All'!$V$41,'HW - All'!$V$44,'HW - All'!$V$47)</c:f>
              <c:numCache>
                <c:formatCode>0.0%</c:formatCode>
                <c:ptCount val="16"/>
                <c:pt idx="0">
                  <c:v>0.41899999999999998</c:v>
                </c:pt>
                <c:pt idx="1">
                  <c:v>0.32600000000000001</c:v>
                </c:pt>
                <c:pt idx="2">
                  <c:v>0.43099999999999999</c:v>
                </c:pt>
                <c:pt idx="3">
                  <c:v>0.378</c:v>
                </c:pt>
                <c:pt idx="4">
                  <c:v>0.42699999999999999</c:v>
                </c:pt>
                <c:pt idx="5">
                  <c:v>0.46899999999999997</c:v>
                </c:pt>
                <c:pt idx="6">
                  <c:v>0.45600000000000002</c:v>
                </c:pt>
                <c:pt idx="7">
                  <c:v>0.41</c:v>
                </c:pt>
                <c:pt idx="8">
                  <c:v>0.41299999999999998</c:v>
                </c:pt>
                <c:pt idx="9">
                  <c:v>0.46600000000000003</c:v>
                </c:pt>
                <c:pt idx="10">
                  <c:v>4.8000000000000001E-2</c:v>
                </c:pt>
                <c:pt idx="11">
                  <c:v>0.33400000000000002</c:v>
                </c:pt>
                <c:pt idx="12">
                  <c:v>0.34200000000000003</c:v>
                </c:pt>
                <c:pt idx="13">
                  <c:v>0</c:v>
                </c:pt>
                <c:pt idx="14">
                  <c:v>0.32300000000000001</c:v>
                </c:pt>
                <c:pt idx="15">
                  <c:v>0.308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36-4E16-874B-39B9D58B94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GP%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All'!$I$3,'HW - All'!$I$6,'HW - All'!$I$9,'HW - All'!$I$12,'HW - All'!$I$15,'HW - All'!$I$18,'HW - All'!$I$21,'HW - All'!$I$24,'HW - All'!$I$27,'HW - All'!$I$30,'HW - All'!$I$33,'HW - All'!$I$36,'HW - All'!$I$39,'HW - All'!$I$42,'HW - All'!$I$45,'HW - All'!$I$48)</c:f>
              <c:numCache>
                <c:formatCode>0.0%</c:formatCode>
                <c:ptCount val="16"/>
                <c:pt idx="0">
                  <c:v>0.34399999999999997</c:v>
                </c:pt>
                <c:pt idx="1">
                  <c:v>0.34</c:v>
                </c:pt>
                <c:pt idx="2">
                  <c:v>0.41299999999999998</c:v>
                </c:pt>
                <c:pt idx="3">
                  <c:v>0.23300000000000001</c:v>
                </c:pt>
                <c:pt idx="4">
                  <c:v>0.41</c:v>
                </c:pt>
                <c:pt idx="5">
                  <c:v>0.48499999999999999</c:v>
                </c:pt>
                <c:pt idx="6">
                  <c:v>0.38800000000000001</c:v>
                </c:pt>
                <c:pt idx="7">
                  <c:v>0.36699999999999999</c:v>
                </c:pt>
                <c:pt idx="8">
                  <c:v>0.36799999999999999</c:v>
                </c:pt>
                <c:pt idx="9">
                  <c:v>0.35699999999999998</c:v>
                </c:pt>
                <c:pt idx="10">
                  <c:v>-1E-3</c:v>
                </c:pt>
                <c:pt idx="11">
                  <c:v>0.40300000000000002</c:v>
                </c:pt>
                <c:pt idx="12">
                  <c:v>0.29399999999999998</c:v>
                </c:pt>
                <c:pt idx="13">
                  <c:v>0</c:v>
                </c:pt>
                <c:pt idx="14">
                  <c:v>0.27</c:v>
                </c:pt>
                <c:pt idx="15">
                  <c:v>0.127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91-483A-B7FB-0FFFDB573B92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All'!$O$3,'HW - All'!$O$6,'HW - All'!$O$9,'HW - All'!$O$12,'HW - All'!$O$15,'HW - All'!$O$18,'HW - All'!$O$21,'HW - All'!$O$24,'HW - All'!$O$27,'HW - All'!$O$30,'HW - All'!$O$33,'HW - All'!$O$36,'HW - All'!$O$39,'HW - All'!$O$42,'HW - All'!$O$45,'HW - All'!$O$48)</c:f>
              <c:numCache>
                <c:formatCode>0.0%</c:formatCode>
                <c:ptCount val="16"/>
                <c:pt idx="0">
                  <c:v>0.377</c:v>
                </c:pt>
                <c:pt idx="1">
                  <c:v>0.33500000000000002</c:v>
                </c:pt>
                <c:pt idx="2">
                  <c:v>0.41899999999999998</c:v>
                </c:pt>
                <c:pt idx="3">
                  <c:v>0.24199999999999999</c:v>
                </c:pt>
                <c:pt idx="4">
                  <c:v>0.40200000000000002</c:v>
                </c:pt>
                <c:pt idx="5">
                  <c:v>0.47799999999999998</c:v>
                </c:pt>
                <c:pt idx="6">
                  <c:v>0.42099999999999999</c:v>
                </c:pt>
                <c:pt idx="7">
                  <c:v>0.53300000000000003</c:v>
                </c:pt>
                <c:pt idx="8">
                  <c:v>0.39600000000000002</c:v>
                </c:pt>
                <c:pt idx="9">
                  <c:v>0.434</c:v>
                </c:pt>
                <c:pt idx="10">
                  <c:v>0</c:v>
                </c:pt>
                <c:pt idx="11">
                  <c:v>0.39100000000000001</c:v>
                </c:pt>
                <c:pt idx="12">
                  <c:v>0.28799999999999998</c:v>
                </c:pt>
                <c:pt idx="13">
                  <c:v>0</c:v>
                </c:pt>
                <c:pt idx="14">
                  <c:v>0.21099999999999999</c:v>
                </c:pt>
                <c:pt idx="15">
                  <c:v>0.215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91-483A-B7FB-0FFFDB573B92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All'!$V$3,'HW - All'!$V$6,'HW - All'!$V$9,'HW - All'!$V$12,'HW - All'!$V$15,'HW - All'!$V$18,'HW - All'!$V$21,'HW - All'!$V$24,'HW - All'!$V$27,'HW - All'!$V$30,'HW - All'!$V$33,'HW - All'!$V$36,'HW - All'!$V$39,'HW - All'!$V$42,'HW - All'!$V$45,'HW - All'!$V$48)</c:f>
              <c:numCache>
                <c:formatCode>0.0%</c:formatCode>
                <c:ptCount val="16"/>
                <c:pt idx="0">
                  <c:v>0.40899999999999997</c:v>
                </c:pt>
                <c:pt idx="1">
                  <c:v>0.34300000000000003</c:v>
                </c:pt>
                <c:pt idx="2">
                  <c:v>0.40200000000000002</c:v>
                </c:pt>
                <c:pt idx="3">
                  <c:v>0.23499999999999999</c:v>
                </c:pt>
                <c:pt idx="4">
                  <c:v>0.45900000000000002</c:v>
                </c:pt>
                <c:pt idx="5">
                  <c:v>0.50600000000000001</c:v>
                </c:pt>
                <c:pt idx="6">
                  <c:v>0.52700000000000002</c:v>
                </c:pt>
                <c:pt idx="7">
                  <c:v>0.871</c:v>
                </c:pt>
                <c:pt idx="8">
                  <c:v>0.45900000000000002</c:v>
                </c:pt>
                <c:pt idx="9">
                  <c:v>0.249</c:v>
                </c:pt>
                <c:pt idx="10">
                  <c:v>0.03</c:v>
                </c:pt>
                <c:pt idx="11">
                  <c:v>0.371</c:v>
                </c:pt>
                <c:pt idx="12">
                  <c:v>0.312</c:v>
                </c:pt>
                <c:pt idx="13">
                  <c:v>0</c:v>
                </c:pt>
                <c:pt idx="14">
                  <c:v>0.217</c:v>
                </c:pt>
                <c:pt idx="15">
                  <c:v>0.38100000000000001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91-483A-B7FB-0FFFDB573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</a:t>
            </a:r>
            <a:r>
              <a:rPr lang="en-US" baseline="0"/>
              <a:t> Store</a:t>
            </a:r>
            <a:r>
              <a:rPr lang="en-US"/>
              <a:t> GP%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All'!$I$4,'HW - All'!$I$7,'HW - All'!$I$10,'HW - All'!$I$13,'HW - All'!$I$16,'HW - All'!$I$19,'HW - All'!$I$22,'HW - All'!$I$25,'HW - All'!$I$28,'HW - All'!$I$31,'HW - All'!$I$34,'HW - All'!$I$37,'HW - All'!$I$40,'HW - All'!$I$43,'HW - All'!$I$46,'HW - All'!$I$49)</c:f>
              <c:numCache>
                <c:formatCode>0.0%</c:formatCode>
                <c:ptCount val="16"/>
                <c:pt idx="0">
                  <c:v>0.40200000000000002</c:v>
                </c:pt>
                <c:pt idx="1">
                  <c:v>0.1</c:v>
                </c:pt>
                <c:pt idx="2">
                  <c:v>0</c:v>
                </c:pt>
                <c:pt idx="3">
                  <c:v>0.29299999999999998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0.34899999999999998</c:v>
                </c:pt>
                <c:pt idx="8">
                  <c:v>0.40100000000000002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7-45D6-9F32-976FF4193428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All'!$O$4,'HW - All'!$O$7,'HW - All'!$O$10,'HW - All'!$O$13,'HW - All'!$O$16,'HW - All'!$O$19,'HW - All'!$O$22,'HW - All'!$O$25,'HW - All'!$O$28,'HW - All'!$O$31,'HW - All'!$O$34,'HW - All'!$O$37,'HW - All'!$O$40,'HW - All'!$O$43,'HW - All'!$O$46,'HW - All'!$O$49)</c:f>
              <c:numCache>
                <c:formatCode>0.0%</c:formatCode>
                <c:ptCount val="16"/>
                <c:pt idx="0">
                  <c:v>0.33800000000000002</c:v>
                </c:pt>
                <c:pt idx="1">
                  <c:v>0.27</c:v>
                </c:pt>
                <c:pt idx="2">
                  <c:v>0.27900000000000003</c:v>
                </c:pt>
                <c:pt idx="3">
                  <c:v>0.39</c:v>
                </c:pt>
                <c:pt idx="4">
                  <c:v>0</c:v>
                </c:pt>
                <c:pt idx="5">
                  <c:v>0.33900000000000002</c:v>
                </c:pt>
                <c:pt idx="6">
                  <c:v>0</c:v>
                </c:pt>
                <c:pt idx="7">
                  <c:v>0.34899999999999998</c:v>
                </c:pt>
                <c:pt idx="8">
                  <c:v>0.36399999999999999</c:v>
                </c:pt>
                <c:pt idx="9">
                  <c:v>0</c:v>
                </c:pt>
                <c:pt idx="10">
                  <c:v>2E-3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0.25900000000000001</c:v>
                </c:pt>
                <c:pt idx="15">
                  <c:v>0.42899999999999999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7-45D6-9F32-976FF4193428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All'!$V$4,'HW - All'!$V$7,'HW - All'!$V$10,'HW - All'!$V$13,'HW - All'!$V$16,'HW - All'!$V$19,'HW - All'!$V$22,'HW - All'!$V$25,'HW - All'!$V$28,'HW - All'!$V$31,'HW - All'!$V$34,'HW - All'!$V$37,'HW - All'!$V$40,'HW - All'!$V$43,'HW - All'!$V$46,'HW - All'!$V$49)</c:f>
              <c:numCache>
                <c:formatCode>0.0%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7-45D6-9F32-976FF4193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GP$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All'!$H$2,'HW - All'!$H$5,'HW - All'!$H$8,'HW - All'!$H$11,'HW - All'!$H$14,'HW - All'!$H$17,'HW - All'!$H$20,'HW - All'!$H$23,'HW - All'!$H$26,'HW - All'!$H$29,'HW - All'!$H$32,'HW - All'!$H$35,'HW - All'!$H$38,'HW - All'!$H$41,'HW - All'!$H$44,'HW - All'!$H$47)</c:f>
              <c:numCache>
                <c:formatCode>\$#,##0.00</c:formatCode>
                <c:ptCount val="16"/>
                <c:pt idx="0">
                  <c:v>43525.47</c:v>
                </c:pt>
                <c:pt idx="1">
                  <c:v>111023.19</c:v>
                </c:pt>
                <c:pt idx="2">
                  <c:v>300247.42</c:v>
                </c:pt>
                <c:pt idx="3">
                  <c:v>118097.34</c:v>
                </c:pt>
                <c:pt idx="4">
                  <c:v>49101.79</c:v>
                </c:pt>
                <c:pt idx="5">
                  <c:v>31550.84</c:v>
                </c:pt>
                <c:pt idx="6">
                  <c:v>12067.43</c:v>
                </c:pt>
                <c:pt idx="7">
                  <c:v>43283.85</c:v>
                </c:pt>
                <c:pt idx="8">
                  <c:v>21409.19</c:v>
                </c:pt>
                <c:pt idx="9">
                  <c:v>2850.03</c:v>
                </c:pt>
                <c:pt idx="10">
                  <c:v>56.76</c:v>
                </c:pt>
                <c:pt idx="11">
                  <c:v>5655.04</c:v>
                </c:pt>
                <c:pt idx="12">
                  <c:v>21493.15</c:v>
                </c:pt>
                <c:pt idx="13">
                  <c:v>0</c:v>
                </c:pt>
                <c:pt idx="14">
                  <c:v>65010.64</c:v>
                </c:pt>
                <c:pt idx="15">
                  <c:v>-1593.61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A5-4008-BB08-FF00DFF7BA53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All'!$N$2,'HW - All'!$N$5,'HW - All'!$N$8,'HW - All'!$N$11,'HW - All'!$N$14,'HW - All'!$N$17,'HW - All'!$N$20,'HW - All'!$N$23,'HW - All'!$N$26,'HW - All'!$N$29,'HW - All'!$N$32,'HW - All'!$N$35,'HW - All'!$N$38,'HW - All'!$N$41,'HW - All'!$N$44,'HW - All'!$N$47)</c:f>
              <c:numCache>
                <c:formatCode>\$#,##0.00</c:formatCode>
                <c:ptCount val="16"/>
                <c:pt idx="0">
                  <c:v>44302.65</c:v>
                </c:pt>
                <c:pt idx="1">
                  <c:v>126131.5</c:v>
                </c:pt>
                <c:pt idx="2">
                  <c:v>311193.15000000002</c:v>
                </c:pt>
                <c:pt idx="3">
                  <c:v>115375.1</c:v>
                </c:pt>
                <c:pt idx="4">
                  <c:v>31172.84</c:v>
                </c:pt>
                <c:pt idx="5">
                  <c:v>21078.400000000001</c:v>
                </c:pt>
                <c:pt idx="6">
                  <c:v>7844.57</c:v>
                </c:pt>
                <c:pt idx="7">
                  <c:v>33340.879999999997</c:v>
                </c:pt>
                <c:pt idx="8">
                  <c:v>21260.06</c:v>
                </c:pt>
                <c:pt idx="9">
                  <c:v>2123.5700000000002</c:v>
                </c:pt>
                <c:pt idx="10">
                  <c:v>-687.2</c:v>
                </c:pt>
                <c:pt idx="11">
                  <c:v>7304.06</c:v>
                </c:pt>
                <c:pt idx="12">
                  <c:v>12412.75</c:v>
                </c:pt>
                <c:pt idx="13">
                  <c:v>0</c:v>
                </c:pt>
                <c:pt idx="14">
                  <c:v>46703.71</c:v>
                </c:pt>
                <c:pt idx="15">
                  <c:v>4332.3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A5-4008-BB08-FF00DFF7BA53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All'!$B$2,'HW - All'!$B$5,'HW - All'!$B$8,'HW - All'!$B$11,'HW - All'!$B$14,'HW - All'!$B$17,'HW - All'!$B$20,'HW - All'!$B$23,'HW - All'!$B$26,'HW - All'!$B$29,'HW - All'!$B$32,'HW - All'!$B$35,'HW - All'!$B$38,'HW - All'!$B$41,'HW - All'!$B$44,'HW - All'!$B$47)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All'!$U$2,'HW - All'!$U$5,'HW - All'!$U$8,'HW - All'!$U$11,'HW - All'!$U$14,'HW - All'!$U$17,'HW - All'!$U$20,'HW - All'!$U$23,'HW - All'!$U$26,'HW - All'!$U$29,'HW - All'!$U$32,'HW - All'!$U$35,'HW - All'!$U$38,'HW - All'!$U$41,'HW - All'!$U$44,'HW - All'!$U$47)</c:f>
              <c:numCache>
                <c:formatCode>\$#,##0.00</c:formatCode>
                <c:ptCount val="16"/>
                <c:pt idx="0">
                  <c:v>47043.79</c:v>
                </c:pt>
                <c:pt idx="1">
                  <c:v>131848.94</c:v>
                </c:pt>
                <c:pt idx="2">
                  <c:v>304420.75</c:v>
                </c:pt>
                <c:pt idx="3">
                  <c:v>132223.69</c:v>
                </c:pt>
                <c:pt idx="4">
                  <c:v>43435.37</c:v>
                </c:pt>
                <c:pt idx="5">
                  <c:v>24504.18</c:v>
                </c:pt>
                <c:pt idx="6">
                  <c:v>10443.280000000001</c:v>
                </c:pt>
                <c:pt idx="7">
                  <c:v>34285.07</c:v>
                </c:pt>
                <c:pt idx="8">
                  <c:v>12206.39</c:v>
                </c:pt>
                <c:pt idx="9">
                  <c:v>753.96</c:v>
                </c:pt>
                <c:pt idx="10">
                  <c:v>606.32000000000005</c:v>
                </c:pt>
                <c:pt idx="11">
                  <c:v>5448.54</c:v>
                </c:pt>
                <c:pt idx="12">
                  <c:v>15139.35</c:v>
                </c:pt>
                <c:pt idx="13">
                  <c:v>0</c:v>
                </c:pt>
                <c:pt idx="14">
                  <c:v>55092.68</c:v>
                </c:pt>
                <c:pt idx="15">
                  <c:v>4773.28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A5-4008-BB08-FF00DFF7B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GP$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All'!$H$3,'HW - All'!$H$6,'HW - All'!$H$9,'HW - All'!$H$12,'HW - All'!$H$15,'HW - All'!$H$18,'HW - All'!$H$21,'HW - All'!$H$24,'HW - All'!$H$27,'HW - All'!$H$30,'HW - All'!$H$33,'HW - All'!$H$36,'HW - All'!$H$39,'HW - All'!$H$42,'HW - All'!$H$45,'HW - All'!$H$48)</c:f>
              <c:numCache>
                <c:formatCode>\$#,##0.00</c:formatCode>
                <c:ptCount val="16"/>
                <c:pt idx="0">
                  <c:v>7187.11</c:v>
                </c:pt>
                <c:pt idx="1">
                  <c:v>15292.32</c:v>
                </c:pt>
                <c:pt idx="2">
                  <c:v>104980.77</c:v>
                </c:pt>
                <c:pt idx="3">
                  <c:v>18108.419999999998</c:v>
                </c:pt>
                <c:pt idx="4">
                  <c:v>4836.55</c:v>
                </c:pt>
                <c:pt idx="5">
                  <c:v>8183.74</c:v>
                </c:pt>
                <c:pt idx="6">
                  <c:v>2075.75</c:v>
                </c:pt>
                <c:pt idx="7">
                  <c:v>1673.8</c:v>
                </c:pt>
                <c:pt idx="8">
                  <c:v>1585.43</c:v>
                </c:pt>
                <c:pt idx="9">
                  <c:v>205.12</c:v>
                </c:pt>
                <c:pt idx="10">
                  <c:v>-0.97</c:v>
                </c:pt>
                <c:pt idx="11">
                  <c:v>2311.9499999999998</c:v>
                </c:pt>
                <c:pt idx="12">
                  <c:v>7896.15</c:v>
                </c:pt>
                <c:pt idx="13">
                  <c:v>0</c:v>
                </c:pt>
                <c:pt idx="14">
                  <c:v>7770.36</c:v>
                </c:pt>
                <c:pt idx="15">
                  <c:v>512.35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6B-4521-B8AD-6FC30DCC98BD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All'!$N$3,'HW - All'!$N$6,'HW - All'!$N$9,'HW - All'!$N$12,'HW - All'!$N$15,'HW - All'!$N$18,'HW - All'!$N$21,'HW - All'!$N$24,'HW - All'!$N$27,'HW - All'!$N$30,'HW - All'!$N$33,'HW - All'!$N$36,'HW - All'!$N$39,'HW - All'!$N$42,'HW - All'!$N$45,'HW - All'!$N$48)</c:f>
              <c:numCache>
                <c:formatCode>\$#,##0.00</c:formatCode>
                <c:ptCount val="16"/>
                <c:pt idx="0">
                  <c:v>7531.24</c:v>
                </c:pt>
                <c:pt idx="1">
                  <c:v>16238.55</c:v>
                </c:pt>
                <c:pt idx="2">
                  <c:v>111577.60000000001</c:v>
                </c:pt>
                <c:pt idx="3">
                  <c:v>13488.76</c:v>
                </c:pt>
                <c:pt idx="4">
                  <c:v>1670.18</c:v>
                </c:pt>
                <c:pt idx="5">
                  <c:v>3869.4</c:v>
                </c:pt>
                <c:pt idx="6">
                  <c:v>1624.17</c:v>
                </c:pt>
                <c:pt idx="7">
                  <c:v>2498.27</c:v>
                </c:pt>
                <c:pt idx="8">
                  <c:v>828.45</c:v>
                </c:pt>
                <c:pt idx="9">
                  <c:v>301.36</c:v>
                </c:pt>
                <c:pt idx="10">
                  <c:v>0.4</c:v>
                </c:pt>
                <c:pt idx="11">
                  <c:v>2244.2600000000002</c:v>
                </c:pt>
                <c:pt idx="12">
                  <c:v>8331.81</c:v>
                </c:pt>
                <c:pt idx="13">
                  <c:v>0</c:v>
                </c:pt>
                <c:pt idx="14">
                  <c:v>7932.09</c:v>
                </c:pt>
                <c:pt idx="15">
                  <c:v>420.3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6B-4521-B8AD-6FC30DCC98BD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All'!$B$3,'HW - All'!$B$6,'HW - All'!$B$9,'HW - All'!$B$12,'HW - All'!$B$15,'HW - All'!$B$18,'HW - All'!$B$21,'HW - All'!$B$24,'HW - All'!$B$27,'HW - All'!$B$30,'HW - All'!$B$33,'HW - All'!$B$36,'HW - All'!$B$39,'HW - All'!$B$42,'HW - All'!$B$45,'HW - All'!$B$48)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All'!$U$3,'HW - All'!$U$6,'HW - All'!$U$9,'HW - All'!$U$12,'HW - All'!$U$15,'HW - All'!$U$18,'HW - All'!$U$21,'HW - All'!$U$24,'HW - All'!$U$27,'HW - All'!$U$30,'HW - All'!$U$33,'HW - All'!$U$36,'HW - All'!$U$39,'HW - All'!$U$42,'HW - All'!$U$45,'HW - All'!$U$48)</c:f>
              <c:numCache>
                <c:formatCode>\$#,##0.00</c:formatCode>
                <c:ptCount val="16"/>
                <c:pt idx="0">
                  <c:v>9139.0300000000007</c:v>
                </c:pt>
                <c:pt idx="1">
                  <c:v>18334.03</c:v>
                </c:pt>
                <c:pt idx="2">
                  <c:v>101783.21</c:v>
                </c:pt>
                <c:pt idx="3">
                  <c:v>20320.72</c:v>
                </c:pt>
                <c:pt idx="4">
                  <c:v>1018.64</c:v>
                </c:pt>
                <c:pt idx="5">
                  <c:v>1976.33</c:v>
                </c:pt>
                <c:pt idx="6">
                  <c:v>497.61</c:v>
                </c:pt>
                <c:pt idx="7">
                  <c:v>6173.28</c:v>
                </c:pt>
                <c:pt idx="8">
                  <c:v>504.81</c:v>
                </c:pt>
                <c:pt idx="9">
                  <c:v>3.73</c:v>
                </c:pt>
                <c:pt idx="10">
                  <c:v>17.809999999999999</c:v>
                </c:pt>
                <c:pt idx="11">
                  <c:v>874.44</c:v>
                </c:pt>
                <c:pt idx="12">
                  <c:v>7743.12</c:v>
                </c:pt>
                <c:pt idx="13">
                  <c:v>0</c:v>
                </c:pt>
                <c:pt idx="14">
                  <c:v>5286.18</c:v>
                </c:pt>
                <c:pt idx="15">
                  <c:v>1477.71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6B-4521-B8AD-6FC30DCC98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GP$ HW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All'!$H$4,'HW - All'!$H$7,'HW - All'!$H$10,'HW - All'!$H$13,'HW - All'!$H$16,'HW - All'!$H$19,'HW - All'!$H$22,'HW - All'!$H$25,'HW - All'!$H$28,'HW - All'!$H$31,'HW - All'!$H$34,'HW - All'!$H$37,'HW - All'!$H$40,'HW - All'!$H$43,'HW - All'!$H$46,'HW - All'!$H$49)</c:f>
              <c:numCache>
                <c:formatCode>\$#,##0.00</c:formatCode>
                <c:ptCount val="16"/>
                <c:pt idx="0">
                  <c:v>89.34</c:v>
                </c:pt>
                <c:pt idx="1">
                  <c:v>75.709999999999994</c:v>
                </c:pt>
                <c:pt idx="2">
                  <c:v>0</c:v>
                </c:pt>
                <c:pt idx="3">
                  <c:v>31.89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49.42</c:v>
                </c:pt>
                <c:pt idx="8">
                  <c:v>45.17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36.520000000000003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D2-41E6-BA5C-85CE16249C01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All'!$N$4,'HW - All'!$N$7,'HW - All'!$N$10,'HW - All'!$N$13,'HW - All'!$N$16,'HW - All'!$N$19,'HW - All'!$N$22,'HW - All'!$N$25,'HW - All'!$N$28,'HW - All'!$N$31,'HW - All'!$N$34,'HW - All'!$N$37,'HW - All'!$N$40,'HW - All'!$N$43,'HW - All'!$N$46,'HW - All'!$N$49)</c:f>
              <c:numCache>
                <c:formatCode>\$#,##0.00</c:formatCode>
                <c:ptCount val="16"/>
                <c:pt idx="0">
                  <c:v>91.96</c:v>
                </c:pt>
                <c:pt idx="1">
                  <c:v>416.2</c:v>
                </c:pt>
                <c:pt idx="2">
                  <c:v>37.04</c:v>
                </c:pt>
                <c:pt idx="3">
                  <c:v>52.84</c:v>
                </c:pt>
                <c:pt idx="4">
                  <c:v>0</c:v>
                </c:pt>
                <c:pt idx="5">
                  <c:v>15.44</c:v>
                </c:pt>
                <c:pt idx="6">
                  <c:v>0</c:v>
                </c:pt>
                <c:pt idx="7">
                  <c:v>32.130000000000003</c:v>
                </c:pt>
                <c:pt idx="8">
                  <c:v>22.94</c:v>
                </c:pt>
                <c:pt idx="9">
                  <c:v>0</c:v>
                </c:pt>
                <c:pt idx="10">
                  <c:v>0.64</c:v>
                </c:pt>
                <c:pt idx="11">
                  <c:v>0.93</c:v>
                </c:pt>
                <c:pt idx="12">
                  <c:v>0</c:v>
                </c:pt>
                <c:pt idx="13">
                  <c:v>0</c:v>
                </c:pt>
                <c:pt idx="14">
                  <c:v>1.55</c:v>
                </c:pt>
                <c:pt idx="15">
                  <c:v>171.44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D2-41E6-BA5C-85CE16249C01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('HW - All'!$B$4,'HW - All'!$B$7,'HW - All'!$B$10,'HW - All'!$B$13,'HW - All'!$B$16,'HW - All'!$B$19,'HW - All'!$B$22,'HW - All'!$B$25,'HW - All'!$B$28,'HW - All'!$B$31,'HW - All'!$B$34,'HW - All'!$B$37,'HW - All'!$B$40,'HW - All'!$B$43,'HW - All'!$B$46,'HW - All'!$B$49)</c:f>
              <c:strCache>
                <c:ptCount val="16"/>
                <c:pt idx="0">
                  <c:v>10 HAND TOOLS</c:v>
                </c:pt>
                <c:pt idx="1">
                  <c:v>15 POWER TOOLS &amp; ACCESSORIES</c:v>
                </c:pt>
                <c:pt idx="2">
                  <c:v>20 FASTENERS</c:v>
                </c:pt>
                <c:pt idx="3">
                  <c:v>25 HARDWARE</c:v>
                </c:pt>
                <c:pt idx="4">
                  <c:v>35 ELECTRICAL</c:v>
                </c:pt>
                <c:pt idx="5">
                  <c:v>40 PLUMBING</c:v>
                </c:pt>
                <c:pt idx="6">
                  <c:v>45 HEATING &amp; COOLING</c:v>
                </c:pt>
                <c:pt idx="7">
                  <c:v>50 HOUSEWARES</c:v>
                </c:pt>
                <c:pt idx="8">
                  <c:v>65 AUTOMOTIVE</c:v>
                </c:pt>
                <c:pt idx="9">
                  <c:v>70 SPORTING GOODS</c:v>
                </c:pt>
                <c:pt idx="10">
                  <c:v>75 STORE SUPPLIES</c:v>
                </c:pt>
                <c:pt idx="11">
                  <c:v>76 IMPULSE &amp; VARIETY</c:v>
                </c:pt>
                <c:pt idx="12">
                  <c:v>DF DECK FASTNERS</c:v>
                </c:pt>
                <c:pt idx="13">
                  <c:v>EMERY JENSEN NEW ITEMS</c:v>
                </c:pt>
                <c:pt idx="14">
                  <c:v>SH SPECIAL ORDER HARDWARE</c:v>
                </c:pt>
                <c:pt idx="15">
                  <c:v>XH HARDWARE DISCONTINUED</c:v>
                </c:pt>
              </c:strCache>
            </c:strRef>
          </c:cat>
          <c:val>
            <c:numRef>
              <c:f>('HW - All'!$U$4,'HW - All'!$U$7,'HW - All'!$U$10,'HW - All'!$U$13,'HW - All'!$U$16,'HW - All'!$U$19,'HW - All'!$U$22,'HW - All'!$U$25,'HW - All'!$U$28,'HW - All'!$U$31,'HW - All'!$U$34,'HW - All'!$U$37,'HW - All'!$U$40,'HW - All'!$U$43,'HW - All'!$U$46,'HW - All'!$U$49)</c:f>
              <c:numCache>
                <c:formatCode>\$#,##0.00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D2-41E6-BA5C-85CE16249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Inv 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All'!$B$2,'P - All'!$B$5,'P - All'!$B$8)</c:f>
              <c:strCache>
                <c:ptCount val="3"/>
                <c:pt idx="0">
                  <c:v>30 PAINT &amp; SUNDRIES</c:v>
                </c:pt>
                <c:pt idx="1">
                  <c:v>SP SPECIAL ORDER PAINT</c:v>
                </c:pt>
                <c:pt idx="2">
                  <c:v>XP DISCONTINUED PAINT</c:v>
                </c:pt>
              </c:strCache>
            </c:strRef>
          </c:cat>
          <c:val>
            <c:numRef>
              <c:f>('P - All'!$D$2,'P - All'!$D$5,'P - All'!$D$8)</c:f>
              <c:numCache>
                <c:formatCode>\$#,##0.00</c:formatCode>
                <c:ptCount val="3"/>
                <c:pt idx="0">
                  <c:v>237926.51</c:v>
                </c:pt>
                <c:pt idx="1">
                  <c:v>1051.5899999999999</c:v>
                </c:pt>
                <c:pt idx="2">
                  <c:v>4387.05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F383-440F-8E63-DED2DBCF7C44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All'!$B$2,'P - All'!$B$5,'P - All'!$B$8)</c:f>
              <c:strCache>
                <c:ptCount val="3"/>
                <c:pt idx="0">
                  <c:v>30 PAINT &amp; SUNDRIES</c:v>
                </c:pt>
                <c:pt idx="1">
                  <c:v>SP SPECIAL ORDER PAINT</c:v>
                </c:pt>
                <c:pt idx="2">
                  <c:v>XP DISCONTINUED PAINT</c:v>
                </c:pt>
              </c:strCache>
            </c:strRef>
          </c:cat>
          <c:val>
            <c:numRef>
              <c:f>('P - All'!$J$2,'P - All'!$J$5,'P - All'!$J$8)</c:f>
              <c:numCache>
                <c:formatCode>\$#,##0.00</c:formatCode>
                <c:ptCount val="3"/>
                <c:pt idx="0">
                  <c:v>251855.15</c:v>
                </c:pt>
                <c:pt idx="1">
                  <c:v>146.07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F383-440F-8E63-DED2DBCF7C44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All'!$B$2,'P - All'!$B$5,'P - All'!$B$8)</c:f>
              <c:strCache>
                <c:ptCount val="3"/>
                <c:pt idx="0">
                  <c:v>30 PAINT &amp; SUNDRIES</c:v>
                </c:pt>
                <c:pt idx="1">
                  <c:v>SP SPECIAL ORDER PAINT</c:v>
                </c:pt>
                <c:pt idx="2">
                  <c:v>XP DISCONTINUED PAINT</c:v>
                </c:pt>
              </c:strCache>
            </c:strRef>
          </c:cat>
          <c:val>
            <c:numRef>
              <c:f>('P - All'!$Q$2,'P - All'!$Q$5,'P - All'!$Q$8)</c:f>
              <c:numCache>
                <c:formatCode>\$#,##0.00</c:formatCode>
                <c:ptCount val="3"/>
                <c:pt idx="0">
                  <c:v>215453.17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F383-440F-8E63-DED2DBCF7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Inv 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All'!$D$3,'P - All'!$D$9)</c:f>
              <c:numCache>
                <c:formatCode>\$#,##0.00</c:formatCode>
                <c:ptCount val="2"/>
                <c:pt idx="0">
                  <c:v>15015.95</c:v>
                </c:pt>
                <c:pt idx="1">
                  <c:v>308.66000000000003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45-45B7-A097-40D0390B8F4E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All'!$J$3,'P - All'!$J$9)</c:f>
              <c:numCache>
                <c:formatCode>\$#,##0.00</c:formatCode>
                <c:ptCount val="2"/>
                <c:pt idx="0">
                  <c:v>24551.599999999999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45-45B7-A097-40D0390B8F4E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All'!$Q$3,'P - All'!$Q$9)</c:f>
              <c:numCache>
                <c:formatCode>\$#,##0.00</c:formatCode>
                <c:ptCount val="2"/>
                <c:pt idx="0">
                  <c:v>72972.95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445-45B7-A097-40D0390B8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YTD Sales Totals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203957969123171"/>
          <c:y val="0.10242238353181024"/>
          <c:w val="0.86209033342316665"/>
          <c:h val="0.62639681810749415"/>
        </c:manualLayout>
      </c:layout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('December 2025 - Dashboard'!$A$3,'December 2025 - Dashboard'!$A$6,'December 2025 - Dashboard'!$A$9,'December 2025 - Dashboard'!$A$12,'December 2025 - Dashboard'!$A$15,'December 2025 - Dashboard'!$A$18,'December 2025 -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('December 2025 - Dashboard'!$I$3,'December 2025 - Dashboard'!$I$6,'December 2025 - Dashboard'!$I$9,'December 2025 - Dashboard'!$I$12,'December 2025 - Dashboard'!$I$15,'December 2025 - Dashboard'!$I$18,'December 2025 - Dashboard'!$I$21)</c:f>
              <c:numCache>
                <c:formatCode>"$"#,##0.00</c:formatCode>
                <c:ptCount val="7"/>
                <c:pt idx="0">
                  <c:v>2255485.9900000002</c:v>
                </c:pt>
                <c:pt idx="1">
                  <c:v>6114313.2999999998</c:v>
                </c:pt>
                <c:pt idx="2">
                  <c:v>2863591.5400000005</c:v>
                </c:pt>
                <c:pt idx="3">
                  <c:v>2622468.649999999</c:v>
                </c:pt>
                <c:pt idx="4">
                  <c:v>1804235.26</c:v>
                </c:pt>
                <c:pt idx="5">
                  <c:v>560767.92999999993</c:v>
                </c:pt>
                <c:pt idx="6">
                  <c:v>16220862.669999998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24-4A0B-968C-8369EEA935D0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('December 2025 - Dashboard'!$A$3,'December 2025 - Dashboard'!$A$6,'December 2025 - Dashboard'!$A$9,'December 2025 - Dashboard'!$A$12,'December 2025 - Dashboard'!$A$15,'December 2025 - Dashboard'!$A$18,'December 2025 -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('December 2025 - Dashboard'!$U$3,'December 2025 - Dashboard'!$U$6,'December 2025 - Dashboard'!$U$9,'December 2025 - Dashboard'!$U$12,'December 2025 - Dashboard'!$U$15,'December 2025 - Dashboard'!$U$18,'December 2025 - Dashboard'!$U$21)</c:f>
              <c:numCache>
                <c:formatCode>"$"#,##0.00</c:formatCode>
                <c:ptCount val="7"/>
                <c:pt idx="0">
                  <c:v>2495028.09</c:v>
                </c:pt>
                <c:pt idx="1">
                  <c:v>6219062.7300000014</c:v>
                </c:pt>
                <c:pt idx="2">
                  <c:v>2878744.2899999996</c:v>
                </c:pt>
                <c:pt idx="3">
                  <c:v>2548880.5699999994</c:v>
                </c:pt>
                <c:pt idx="4">
                  <c:v>1567108.6500000001</c:v>
                </c:pt>
                <c:pt idx="5">
                  <c:v>664943.82999999996</c:v>
                </c:pt>
                <c:pt idx="6">
                  <c:v>16373768.16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24-4A0B-968C-8369EEA935D0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('December 2025 - Dashboard'!$A$3,'December 2025 - Dashboard'!$A$6,'December 2025 - Dashboard'!$A$9,'December 2025 - Dashboard'!$A$12,'December 2025 - Dashboard'!$A$15,'December 2025 - Dashboard'!$A$18,'December 2025 -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('December 2025 - Dashboard'!$AH$3,'December 2025 - Dashboard'!$AH$6,'December 2025 - Dashboard'!$AH$9,'December 2025 - Dashboard'!$AH$12,'December 2025 - Dashboard'!$AH$15,'December 2025 - Dashboard'!$AH$18,'December 2025 - Dashboard'!$AH$21)</c:f>
              <c:numCache>
                <c:formatCode>"$"#,##0.00</c:formatCode>
                <c:ptCount val="7"/>
                <c:pt idx="0">
                  <c:v>2490453.0300000003</c:v>
                </c:pt>
                <c:pt idx="1">
                  <c:v>5986782.0600000005</c:v>
                </c:pt>
                <c:pt idx="2">
                  <c:v>2854819.3899999992</c:v>
                </c:pt>
                <c:pt idx="3">
                  <c:v>2610471.7400000007</c:v>
                </c:pt>
                <c:pt idx="4">
                  <c:v>1466426.34</c:v>
                </c:pt>
                <c:pt idx="5">
                  <c:v>855670.41</c:v>
                </c:pt>
                <c:pt idx="6">
                  <c:v>16264622.969999999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24-4A0B-968C-8369EEA93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5263751"/>
        <c:axId val="1175269895"/>
      </c:barChart>
      <c:catAx>
        <c:axId val="1175263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9895"/>
        <c:crosses val="autoZero"/>
        <c:auto val="1"/>
        <c:lblAlgn val="ctr"/>
        <c:lblOffset val="100"/>
        <c:noMultiLvlLbl val="0"/>
      </c:catAx>
      <c:valAx>
        <c:axId val="1175269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375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Inv 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All'!$D$4,'P - All'!$D$10)</c:f>
              <c:numCache>
                <c:formatCode>\$#,##0.00</c:formatCode>
                <c:ptCount val="2"/>
                <c:pt idx="0">
                  <c:v>107261.26</c:v>
                </c:pt>
                <c:pt idx="1">
                  <c:v>1304.07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F3-4BF0-9DE3-BC9A7305B720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All'!$J$4,'P - All'!$J$10)</c:f>
              <c:numCache>
                <c:formatCode>\$#,##0.00</c:formatCode>
                <c:ptCount val="2"/>
                <c:pt idx="0">
                  <c:v>101798.7</c:v>
                </c:pt>
                <c:pt idx="1">
                  <c:v>21.72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F3-4BF0-9DE3-BC9A7305B720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All'!$Q$4,'P - All'!$Q$10)</c:f>
              <c:numCache>
                <c:formatCode>\$#,##0.00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F3-4BF0-9DE3-BC9A7305B7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Sales 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All'!$G$2,'P - All'!$G$8)</c:f>
              <c:numCache>
                <c:formatCode>\$#,##0.00</c:formatCode>
                <c:ptCount val="2"/>
                <c:pt idx="0">
                  <c:v>1330814.0900000001</c:v>
                </c:pt>
                <c:pt idx="1">
                  <c:v>35872.89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F4-4FAF-A4EA-8A6875E9E98D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All'!$M$2,'P - All'!$M$8)</c:f>
              <c:numCache>
                <c:formatCode>\$#,##0.00</c:formatCode>
                <c:ptCount val="2"/>
                <c:pt idx="0">
                  <c:v>1298664.3600000001</c:v>
                </c:pt>
                <c:pt idx="1">
                  <c:v>34.93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F4-4FAF-A4EA-8A6875E9E98D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All'!$T$2,'P - All'!$T$8)</c:f>
              <c:numCache>
                <c:formatCode>\$#,##0.00</c:formatCode>
                <c:ptCount val="2"/>
                <c:pt idx="0">
                  <c:v>1342506.91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1F4-4FAF-A4EA-8A6875E9E9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Sales 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All'!$G$3,'P - All'!$G$9)</c:f>
              <c:numCache>
                <c:formatCode>\$#,##0.00</c:formatCode>
                <c:ptCount val="2"/>
                <c:pt idx="0">
                  <c:v>43143.03</c:v>
                </c:pt>
                <c:pt idx="1">
                  <c:v>406.03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7D-4641-9F13-0ECDB2B5765C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All'!$M$3,'P - All'!$M$9)</c:f>
              <c:numCache>
                <c:formatCode>\$#,##0.00</c:formatCode>
                <c:ptCount val="2"/>
                <c:pt idx="0">
                  <c:v>78326.259999999995</c:v>
                </c:pt>
                <c:pt idx="1">
                  <c:v>17.97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7D-4641-9F13-0ECDB2B5765C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All'!$T$3,'P - All'!$T$9)</c:f>
              <c:numCache>
                <c:formatCode>\$#,##0.00</c:formatCode>
                <c:ptCount val="2"/>
                <c:pt idx="0">
                  <c:v>119643.3</c:v>
                </c:pt>
                <c:pt idx="1">
                  <c:v>7.03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7D-4641-9F13-0ECDB2B57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Sales 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All'!$G$4,'P - All'!$G$10)</c:f>
              <c:numCache>
                <c:formatCode>\$#,##0.00</c:formatCode>
                <c:ptCount val="2"/>
                <c:pt idx="0">
                  <c:v>249078.89</c:v>
                </c:pt>
                <c:pt idx="1">
                  <c:v>3149.22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3D-43DC-9FD5-8FB8B6C17CC5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All'!$M$4,'P - All'!$M$10)</c:f>
              <c:numCache>
                <c:formatCode>\$#,##0.00</c:formatCode>
                <c:ptCount val="2"/>
                <c:pt idx="0">
                  <c:v>136982.29999999999</c:v>
                </c:pt>
                <c:pt idx="1">
                  <c:v>29.62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3D-43DC-9FD5-8FB8B6C17CC5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All'!$T$4,'P - All'!$T$10)</c:f>
              <c:numCache>
                <c:formatCode>\$#,##0.00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3D-43DC-9FD5-8FB8B6C17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GP%</a:t>
            </a:r>
            <a:r>
              <a:rPr lang="en-US" baseline="0"/>
              <a:t> </a:t>
            </a:r>
            <a:r>
              <a:rPr lang="en-US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All'!$I$2,'P - All'!$I$8)</c:f>
              <c:numCache>
                <c:formatCode>0.0%</c:formatCode>
                <c:ptCount val="2"/>
                <c:pt idx="0">
                  <c:v>0.29399999999999998</c:v>
                </c:pt>
                <c:pt idx="1">
                  <c:v>0.184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B1-4F4B-A63E-B4EB06E976B5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All'!$O$2,'P - All'!$O$8)</c:f>
              <c:numCache>
                <c:formatCode>0.0%</c:formatCode>
                <c:ptCount val="2"/>
                <c:pt idx="0">
                  <c:v>0.29799999999999999</c:v>
                </c:pt>
                <c:pt idx="1">
                  <c:v>0.48899999999999999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B1-4F4B-A63E-B4EB06E976B5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All'!$V$2,'P - All'!$V$8)</c:f>
              <c:numCache>
                <c:formatCode>0.0%</c:formatCode>
                <c:ptCount val="2"/>
                <c:pt idx="0">
                  <c:v>0.29699999999999999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B1-4F4B-A63E-B4EB06E97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GP%</a:t>
            </a:r>
            <a:r>
              <a:rPr lang="en-US" baseline="0"/>
              <a:t> </a:t>
            </a:r>
            <a:r>
              <a:rPr lang="en-US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All'!$I$3,'P - All'!$I$9)</c:f>
              <c:numCache>
                <c:formatCode>0.0%</c:formatCode>
                <c:ptCount val="2"/>
                <c:pt idx="0">
                  <c:v>0.374</c:v>
                </c:pt>
                <c:pt idx="1">
                  <c:v>-0.86599999999999999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AB-4B88-B2E7-99041A7268DA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All'!$O$3,'P - All'!$O$9)</c:f>
              <c:numCache>
                <c:formatCode>0.0%</c:formatCode>
                <c:ptCount val="2"/>
                <c:pt idx="0">
                  <c:v>0.33900000000000002</c:v>
                </c:pt>
                <c:pt idx="1">
                  <c:v>0.50800000000000001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AB-4B88-B2E7-99041A7268DA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All'!$V$3,'P - All'!$V$9)</c:f>
              <c:numCache>
                <c:formatCode>0.0%</c:formatCode>
                <c:ptCount val="2"/>
                <c:pt idx="0">
                  <c:v>0.34100000000000003</c:v>
                </c:pt>
                <c:pt idx="1">
                  <c:v>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AB-4B88-B2E7-99041A726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GP%</a:t>
            </a:r>
            <a:r>
              <a:rPr lang="en-US" baseline="0"/>
              <a:t> </a:t>
            </a:r>
            <a:r>
              <a:rPr lang="en-US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All'!$I$4,'P - All'!$I$10)</c:f>
              <c:numCache>
                <c:formatCode>0.0%</c:formatCode>
                <c:ptCount val="2"/>
                <c:pt idx="0">
                  <c:v>0.25700000000000001</c:v>
                </c:pt>
                <c:pt idx="1">
                  <c:v>0.255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7C-4171-898F-3802E3B98660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All'!$O$4,'P - All'!$O$10)</c:f>
              <c:numCache>
                <c:formatCode>0.0%</c:formatCode>
                <c:ptCount val="2"/>
                <c:pt idx="0">
                  <c:v>0.29799999999999999</c:v>
                </c:pt>
                <c:pt idx="1">
                  <c:v>0.35099999999999998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7C-4171-898F-3802E3B98660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All'!$V$4,'P - All'!$V$10)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7C-4171-898F-3802E3B986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GP$</a:t>
            </a:r>
            <a:r>
              <a:rPr lang="en-US" baseline="0"/>
              <a:t> </a:t>
            </a:r>
            <a:r>
              <a:rPr lang="en-US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All'!$H$2,'P - All'!$H$8)</c:f>
              <c:numCache>
                <c:formatCode>\$#,##0.00</c:formatCode>
                <c:ptCount val="2"/>
                <c:pt idx="0">
                  <c:v>391737.54</c:v>
                </c:pt>
                <c:pt idx="1">
                  <c:v>6605.93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30-4777-9B35-18A23A231063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All'!$N$2,'P - All'!$N$8)</c:f>
              <c:numCache>
                <c:formatCode>\$#,##0.00</c:formatCode>
                <c:ptCount val="2"/>
                <c:pt idx="0">
                  <c:v>386693.06</c:v>
                </c:pt>
                <c:pt idx="1">
                  <c:v>17.079999999999998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30-4777-9B35-18A23A231063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All'!$B$2,'P - All'!$B$8)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All'!$U$2,'P - All'!$U$8)</c:f>
              <c:numCache>
                <c:formatCode>\$#,##0.00</c:formatCode>
                <c:ptCount val="2"/>
                <c:pt idx="0">
                  <c:v>398396.58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30-4777-9B35-18A23A2310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GP$</a:t>
            </a:r>
            <a:r>
              <a:rPr lang="en-US" baseline="0"/>
              <a:t> </a:t>
            </a:r>
            <a:r>
              <a:rPr lang="en-US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All'!$H$3,'P - All'!$H$9)</c:f>
              <c:numCache>
                <c:formatCode>\$#,##0.00</c:formatCode>
                <c:ptCount val="2"/>
                <c:pt idx="0">
                  <c:v>16140.53</c:v>
                </c:pt>
                <c:pt idx="1">
                  <c:v>-351.5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AE-4ED3-88C0-2C7F30F5468E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All'!$N$3,'P - All'!$N$9)</c:f>
              <c:numCache>
                <c:formatCode>\$#,##0.00</c:formatCode>
                <c:ptCount val="2"/>
                <c:pt idx="0">
                  <c:v>26541.14</c:v>
                </c:pt>
                <c:pt idx="1">
                  <c:v>9.1199999999999992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AE-4ED3-88C0-2C7F30F5468E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All'!$B$3,'P - All'!$B$9)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All'!$U$3,'P - All'!$U$9)</c:f>
              <c:numCache>
                <c:formatCode>\$#,##0.00</c:formatCode>
                <c:ptCount val="2"/>
                <c:pt idx="0">
                  <c:v>40752.54</c:v>
                </c:pt>
                <c:pt idx="1">
                  <c:v>2.95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AE-4ED3-88C0-2C7F30F546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</a:t>
            </a:r>
            <a:r>
              <a:rPr lang="en-US" baseline="0"/>
              <a:t> Store</a:t>
            </a:r>
            <a:r>
              <a:rPr lang="en-US"/>
              <a:t> GP$</a:t>
            </a:r>
            <a:r>
              <a:rPr lang="en-US" baseline="0"/>
              <a:t> </a:t>
            </a:r>
            <a:r>
              <a:rPr lang="en-US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All'!$H$4,'P - All'!$H$10)</c:f>
              <c:numCache>
                <c:formatCode>\$#,##0.00</c:formatCode>
                <c:ptCount val="2"/>
                <c:pt idx="0">
                  <c:v>63924.86</c:v>
                </c:pt>
                <c:pt idx="1">
                  <c:v>803.12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2A-42C6-A7E4-E31361BD119F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All'!$N$4,'P - All'!$N$10)</c:f>
              <c:numCache>
                <c:formatCode>\$#,##0.00</c:formatCode>
                <c:ptCount val="2"/>
                <c:pt idx="0">
                  <c:v>40796.53</c:v>
                </c:pt>
                <c:pt idx="1">
                  <c:v>10.41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2A-42C6-A7E4-E31361BD119F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('P - All'!$B$4,'P - All'!$B$10)</c:f>
              <c:strCache>
                <c:ptCount val="2"/>
                <c:pt idx="0">
                  <c:v>30 PAINT &amp; SUNDRIES</c:v>
                </c:pt>
                <c:pt idx="1">
                  <c:v>XP DISCONTINUED PAINT</c:v>
                </c:pt>
              </c:strCache>
            </c:strRef>
          </c:cat>
          <c:val>
            <c:numRef>
              <c:f>('P - All'!$U$4,'P - All'!$U$10)</c:f>
              <c:numCache>
                <c:formatCode>\$#,##0.00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2A-42C6-A7E4-E31361BD1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GP% Totals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203957969123171"/>
          <c:y val="0.10242238353181024"/>
          <c:w val="0.86209033342316665"/>
          <c:h val="0.62639681810749415"/>
        </c:manualLayout>
      </c:layout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('December 2025 - Dashboard'!$A$3,'December 2025 - Dashboard'!$A$6,'December 2025 - Dashboard'!$A$9,'December 2025 - Dashboard'!$A$12,'December 2025 - Dashboard'!$A$15,'December 2025 - Dashboard'!$A$18,'December 2025 -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('December 2025 - Dashboard'!$K$3,'December 2025 - Dashboard'!$K$6,'December 2025 - Dashboard'!$K$9,'December 2025 - Dashboard'!$K$12,'December 2025 - Dashboard'!$K$15,'December 2025 - Dashboard'!$K$18,'December 2025 - Dashboard'!$K$21)</c:f>
              <c:numCache>
                <c:formatCode>0.0%</c:formatCode>
                <c:ptCount val="7"/>
                <c:pt idx="0">
                  <c:v>0.28799999999999998</c:v>
                </c:pt>
                <c:pt idx="1">
                  <c:v>0.29399999999999998</c:v>
                </c:pt>
                <c:pt idx="2">
                  <c:v>0.215</c:v>
                </c:pt>
                <c:pt idx="3">
                  <c:v>0.38400000000000001</c:v>
                </c:pt>
                <c:pt idx="4">
                  <c:v>0.307</c:v>
                </c:pt>
                <c:pt idx="5">
                  <c:v>0.16500000000000001</c:v>
                </c:pt>
                <c:pt idx="6">
                  <c:v>0.29069821044234256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54-4C6D-8B7B-C54E6A1AEE51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('December 2025 - Dashboard'!$A$3,'December 2025 - Dashboard'!$A$6,'December 2025 - Dashboard'!$A$9,'December 2025 - Dashboard'!$A$12,'December 2025 - Dashboard'!$A$15,'December 2025 - Dashboard'!$A$18,'December 2025 -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('December 2025 - Dashboard'!$W$3,'December 2025 - Dashboard'!$W$6,'December 2025 - Dashboard'!$W$9,'December 2025 - Dashboard'!$W$12,'December 2025 - Dashboard'!$W$15,'December 2025 - Dashboard'!$W$18,'December 2025 - Dashboard'!$W$21)</c:f>
              <c:numCache>
                <c:formatCode>0.0%</c:formatCode>
                <c:ptCount val="7"/>
                <c:pt idx="0">
                  <c:v>0.29499999999999998</c:v>
                </c:pt>
                <c:pt idx="1">
                  <c:v>0.26900000000000002</c:v>
                </c:pt>
                <c:pt idx="2">
                  <c:v>0.21199999999999999</c:v>
                </c:pt>
                <c:pt idx="3">
                  <c:v>0.378</c:v>
                </c:pt>
                <c:pt idx="4">
                  <c:v>0.3</c:v>
                </c:pt>
                <c:pt idx="5">
                  <c:v>0.28799999999999998</c:v>
                </c:pt>
                <c:pt idx="6">
                  <c:v>0.28353122107477069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54-4C6D-8B7B-C54E6A1AEE51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('December 2025 - Dashboard'!$A$3,'December 2025 - Dashboard'!$A$6,'December 2025 - Dashboard'!$A$9,'December 2025 - Dashboard'!$A$12,'December 2025 - Dashboard'!$A$15,'December 2025 - Dashboard'!$A$18,'December 2025 -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('December 2025 - Dashboard'!$AJ$3,'December 2025 - Dashboard'!$AJ$6,'December 2025 - Dashboard'!$AJ$9,'December 2025 - Dashboard'!$AJ$12,'December 2025 - Dashboard'!$AJ$15,'December 2025 - Dashboard'!$AJ$18,'December 2025 - Dashboard'!$AJ$21)</c:f>
              <c:numCache>
                <c:formatCode>0.0%</c:formatCode>
                <c:ptCount val="7"/>
                <c:pt idx="0">
                  <c:v>0.29399999999999998</c:v>
                </c:pt>
                <c:pt idx="1">
                  <c:v>0.27900000000000003</c:v>
                </c:pt>
                <c:pt idx="2">
                  <c:v>0.21</c:v>
                </c:pt>
                <c:pt idx="3">
                  <c:v>0.38200000000000001</c:v>
                </c:pt>
                <c:pt idx="4">
                  <c:v>0.3</c:v>
                </c:pt>
                <c:pt idx="5">
                  <c:v>0.34</c:v>
                </c:pt>
                <c:pt idx="6">
                  <c:v>0.29089973304189032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54-4C6D-8B7B-C54E6A1AE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5263751"/>
        <c:axId val="1175269895"/>
      </c:barChart>
      <c:catAx>
        <c:axId val="1175263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9895"/>
        <c:crosses val="autoZero"/>
        <c:auto val="1"/>
        <c:lblAlgn val="ctr"/>
        <c:lblOffset val="100"/>
        <c:noMultiLvlLbl val="0"/>
      </c:catAx>
      <c:valAx>
        <c:axId val="1175269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375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Inv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All'!$D$2,'OL - All'!$D$5,'OL - All'!$D$8,'OL - All'!$D$11,'OL - All'!$D$14,'OL - All'!$D$17,'OL - All'!$D$20)</c:f>
              <c:numCache>
                <c:formatCode>\$#,##0.00</c:formatCode>
                <c:ptCount val="7"/>
                <c:pt idx="0">
                  <c:v>22530.45</c:v>
                </c:pt>
                <c:pt idx="1">
                  <c:v>1765.81</c:v>
                </c:pt>
                <c:pt idx="2">
                  <c:v>0</c:v>
                </c:pt>
                <c:pt idx="3">
                  <c:v>102843.51</c:v>
                </c:pt>
                <c:pt idx="4">
                  <c:v>0</c:v>
                </c:pt>
                <c:pt idx="5">
                  <c:v>1770.33</c:v>
                </c:pt>
                <c:pt idx="6">
                  <c:v>9690.4500000000007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85-44CF-BF45-A6511EF02E7F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All'!$J$2,'OL - All'!$J$5,'OL - All'!$J$8,'OL - All'!$J$11,'OL - All'!$J$14,'OL - All'!$J$17,'OL - All'!$J$20)</c:f>
              <c:numCache>
                <c:formatCode>\$#,##0.00</c:formatCode>
                <c:ptCount val="7"/>
                <c:pt idx="0">
                  <c:v>21932.55</c:v>
                </c:pt>
                <c:pt idx="1">
                  <c:v>463.22</c:v>
                </c:pt>
                <c:pt idx="2">
                  <c:v>0</c:v>
                </c:pt>
                <c:pt idx="3">
                  <c:v>225529.2</c:v>
                </c:pt>
                <c:pt idx="4">
                  <c:v>0</c:v>
                </c:pt>
                <c:pt idx="5">
                  <c:v>22188.09</c:v>
                </c:pt>
                <c:pt idx="6">
                  <c:v>19.55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85-44CF-BF45-A6511EF02E7F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All'!$Q$2,'OL - All'!$Q$5,'OL - All'!$Q$8,'OL - All'!$Q$11,'OL - All'!$Q$14,'OL - All'!$Q$17,'OL - All'!$Q$20)</c:f>
              <c:numCache>
                <c:formatCode>\$#,##0.00</c:formatCode>
                <c:ptCount val="7"/>
                <c:pt idx="0">
                  <c:v>20196.3</c:v>
                </c:pt>
                <c:pt idx="1">
                  <c:v>1210.1099999999999</c:v>
                </c:pt>
                <c:pt idx="2">
                  <c:v>0</c:v>
                </c:pt>
                <c:pt idx="3">
                  <c:v>292183.25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885-44CF-BF45-A6511EF02E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Inv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All'!$D$3,'OL - All'!$D$6,'OL - All'!$D$9,'OL - All'!$D$12,'OL - All'!$D$15,'OL - All'!$D$18,'OL - All'!$D$21)</c:f>
              <c:numCache>
                <c:formatCode>\$#,##0.00</c:formatCode>
                <c:ptCount val="7"/>
                <c:pt idx="0">
                  <c:v>18377.39</c:v>
                </c:pt>
                <c:pt idx="1">
                  <c:v>506.51</c:v>
                </c:pt>
                <c:pt idx="2">
                  <c:v>0</c:v>
                </c:pt>
                <c:pt idx="3">
                  <c:v>10295.48</c:v>
                </c:pt>
                <c:pt idx="4">
                  <c:v>0</c:v>
                </c:pt>
                <c:pt idx="5">
                  <c:v>0</c:v>
                </c:pt>
                <c:pt idx="6">
                  <c:v>1007.01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9C-49CC-AE0C-CDCD8BF8D3DF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All'!$J$3,'OL - All'!$J$6,'OL - All'!$J$9,'OL - All'!$J$12,'OL - All'!$J$15,'OL - All'!$J$18,'OL - All'!$J$21)</c:f>
              <c:numCache>
                <c:formatCode>\$#,##0.00</c:formatCode>
                <c:ptCount val="7"/>
                <c:pt idx="0">
                  <c:v>23635.58</c:v>
                </c:pt>
                <c:pt idx="1">
                  <c:v>1247.31</c:v>
                </c:pt>
                <c:pt idx="2">
                  <c:v>0</c:v>
                </c:pt>
                <c:pt idx="3">
                  <c:v>18627.21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9C-49CC-AE0C-CDCD8BF8D3DF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All'!$Q$3,'OL - All'!$Q$6,'OL - All'!$Q$9,'OL - All'!$Q$12,'OL - All'!$Q$15,'OL - All'!$Q$18,'OL - All'!$Q$21)</c:f>
              <c:numCache>
                <c:formatCode>\$#,##0.00</c:formatCode>
                <c:ptCount val="7"/>
                <c:pt idx="0">
                  <c:v>5827.41</c:v>
                </c:pt>
                <c:pt idx="1">
                  <c:v>0</c:v>
                </c:pt>
                <c:pt idx="2">
                  <c:v>0</c:v>
                </c:pt>
                <c:pt idx="3">
                  <c:v>11318.16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9C-49CC-AE0C-CDCD8BF8D3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Inv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All'!$D$4,'OL - All'!$D$7,'OL - All'!$D$10,'OL - All'!$D$13,'OL - All'!$D$16,'OL - All'!$D$19,'OL - All'!$D$22)</c:f>
              <c:numCache>
                <c:formatCode>\$#,##0.00</c:formatCode>
                <c:ptCount val="7"/>
                <c:pt idx="0">
                  <c:v>39.880000000000003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47-4272-8073-AFD2B755FE9E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All'!$J$4,'OL - All'!$J$7,'OL - All'!$J$10,'OL - All'!$J$13,'OL - All'!$J$16,'OL - All'!$J$19,'OL - All'!$J$22)</c:f>
              <c:numCache>
                <c:formatCode>\$#,##0.00</c:formatCode>
                <c:ptCount val="7"/>
                <c:pt idx="0">
                  <c:v>354.01</c:v>
                </c:pt>
                <c:pt idx="1">
                  <c:v>0</c:v>
                </c:pt>
                <c:pt idx="2">
                  <c:v>0</c:v>
                </c:pt>
                <c:pt idx="3">
                  <c:v>9424.5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47-4272-8073-AFD2B755FE9E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All'!$Q$4,'OL - All'!$Q$7,'OL - All'!$Q$10,'OL - All'!$Q$13,'OL - All'!$Q$16,'OL - All'!$Q$19,'OL - All'!$Q$22)</c:f>
              <c:numCache>
                <c:formatCode>\$#,##0.00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747-4272-8073-AFD2B755FE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Sales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All'!$G$2,'OL - All'!$G$5,'OL - All'!$G$8,'OL - All'!$G$11,'OL - All'!$G$14,'OL - All'!$G$17,'OL - All'!$G$20)</c:f>
              <c:numCache>
                <c:formatCode>\$#,##0.00</c:formatCode>
                <c:ptCount val="7"/>
                <c:pt idx="0">
                  <c:v>100016.28</c:v>
                </c:pt>
                <c:pt idx="1">
                  <c:v>4117.87</c:v>
                </c:pt>
                <c:pt idx="2">
                  <c:v>0</c:v>
                </c:pt>
                <c:pt idx="3">
                  <c:v>353537.25</c:v>
                </c:pt>
                <c:pt idx="4">
                  <c:v>0</c:v>
                </c:pt>
                <c:pt idx="5">
                  <c:v>12890.5</c:v>
                </c:pt>
                <c:pt idx="6">
                  <c:v>60745.26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04-4B97-95EB-7FD324DA052C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All'!$M$2,'OL - All'!$M$5,'OL - All'!$M$8,'OL - All'!$M$11,'OL - All'!$M$14,'OL - All'!$M$17,'OL - All'!$M$20)</c:f>
              <c:numCache>
                <c:formatCode>\$#,##0.00</c:formatCode>
                <c:ptCount val="7"/>
                <c:pt idx="0">
                  <c:v>96956.14</c:v>
                </c:pt>
                <c:pt idx="1">
                  <c:v>3324.63</c:v>
                </c:pt>
                <c:pt idx="2">
                  <c:v>0</c:v>
                </c:pt>
                <c:pt idx="3">
                  <c:v>461062.12</c:v>
                </c:pt>
                <c:pt idx="4">
                  <c:v>0</c:v>
                </c:pt>
                <c:pt idx="5">
                  <c:v>49948.33</c:v>
                </c:pt>
                <c:pt idx="6">
                  <c:v>28247.97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04-4B97-95EB-7FD324DA052C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All'!$T$2,'OL - All'!$T$5,'OL - All'!$T$8,'OL - All'!$T$11,'OL - All'!$T$14,'OL - All'!$T$17,'OL - All'!$T$20)</c:f>
              <c:numCache>
                <c:formatCode>\$#,##0.00</c:formatCode>
                <c:ptCount val="7"/>
                <c:pt idx="0">
                  <c:v>104912.12</c:v>
                </c:pt>
                <c:pt idx="1">
                  <c:v>3059.33</c:v>
                </c:pt>
                <c:pt idx="2">
                  <c:v>0</c:v>
                </c:pt>
                <c:pt idx="3">
                  <c:v>667311.4</c:v>
                </c:pt>
                <c:pt idx="4">
                  <c:v>0</c:v>
                </c:pt>
                <c:pt idx="5">
                  <c:v>55087.99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704-4B97-95EB-7FD324DA05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Sales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All'!$G$3,'OL - All'!$G$6,'OL - All'!$G$9,'OL - All'!$G$12,'OL - All'!$G$15,'OL - All'!$G$18,'OL - All'!$G$21)</c:f>
              <c:numCache>
                <c:formatCode>\$#,##0.00</c:formatCode>
                <c:ptCount val="7"/>
                <c:pt idx="0">
                  <c:v>7501.02</c:v>
                </c:pt>
                <c:pt idx="1">
                  <c:v>58.1</c:v>
                </c:pt>
                <c:pt idx="2">
                  <c:v>0</c:v>
                </c:pt>
                <c:pt idx="3">
                  <c:v>7756.22</c:v>
                </c:pt>
                <c:pt idx="4">
                  <c:v>0</c:v>
                </c:pt>
                <c:pt idx="5">
                  <c:v>7449.69</c:v>
                </c:pt>
                <c:pt idx="6">
                  <c:v>2152.98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C2-46E7-8B4F-B542F1BBEA61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All'!$M$3,'OL - All'!$M$6,'OL - All'!$M$9,'OL - All'!$M$12,'OL - All'!$M$15,'OL - All'!$M$18,'OL - All'!$M$21)</c:f>
              <c:numCache>
                <c:formatCode>\$#,##0.00</c:formatCode>
                <c:ptCount val="7"/>
                <c:pt idx="0">
                  <c:v>6363.41</c:v>
                </c:pt>
                <c:pt idx="1">
                  <c:v>137.19</c:v>
                </c:pt>
                <c:pt idx="2">
                  <c:v>0</c:v>
                </c:pt>
                <c:pt idx="3">
                  <c:v>13843.14</c:v>
                </c:pt>
                <c:pt idx="4">
                  <c:v>0</c:v>
                </c:pt>
                <c:pt idx="5">
                  <c:v>4595.22</c:v>
                </c:pt>
                <c:pt idx="6">
                  <c:v>218.91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C2-46E7-8B4F-B542F1BBEA61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All'!$T$3,'OL - All'!$T$6,'OL - All'!$T$9,'OL - All'!$T$12,'OL - All'!$T$15,'OL - All'!$T$18,'OL - All'!$T$21)</c:f>
              <c:numCache>
                <c:formatCode>\$#,##0.00</c:formatCode>
                <c:ptCount val="7"/>
                <c:pt idx="0">
                  <c:v>3785.8</c:v>
                </c:pt>
                <c:pt idx="1">
                  <c:v>39.049999999999997</c:v>
                </c:pt>
                <c:pt idx="2">
                  <c:v>0</c:v>
                </c:pt>
                <c:pt idx="3">
                  <c:v>13213.52</c:v>
                </c:pt>
                <c:pt idx="4">
                  <c:v>0</c:v>
                </c:pt>
                <c:pt idx="5">
                  <c:v>8261.2000000000007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C2-46E7-8B4F-B542F1BBEA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Sales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All'!$G$4,'OL - All'!$G$7,'OL - All'!$G$10,'OL - All'!$G$13,'OL - All'!$G$16,'OL - All'!$G$19,'OL - All'!$G$22)</c:f>
              <c:numCache>
                <c:formatCode>\$#,##0.00</c:formatCode>
                <c:ptCount val="7"/>
                <c:pt idx="0">
                  <c:v>42.76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20-4451-8048-CE42D178CACE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All'!$M$4,'OL - All'!$M$7,'OL - All'!$M$10,'OL - All'!$M$13,'OL - All'!$M$16,'OL - All'!$M$19,'OL - All'!$M$22)</c:f>
              <c:numCache>
                <c:formatCode>\$#,##0.00</c:formatCode>
                <c:ptCount val="7"/>
                <c:pt idx="0">
                  <c:v>246.77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20-4451-8048-CE42D178CACE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All'!$T$4,'OL - All'!$T$7,'OL - All'!$T$10,'OL - All'!$T$13,'OL - All'!$T$16,'OL - All'!$T$19,'OL - All'!$T$22)</c:f>
              <c:numCache>
                <c:formatCode>\$#,##0.00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20-4451-8048-CE42D178C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GP%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All'!$I$2,'OL - All'!$I$5,'OL - All'!$I$8,'OL - All'!$I$11,'OL - All'!$I$14,'OL - All'!$I$17,'OL - All'!$I$20)</c:f>
              <c:numCache>
                <c:formatCode>0.0%</c:formatCode>
                <c:ptCount val="7"/>
                <c:pt idx="0">
                  <c:v>0.42899999999999999</c:v>
                </c:pt>
                <c:pt idx="1">
                  <c:v>0.439</c:v>
                </c:pt>
                <c:pt idx="2">
                  <c:v>0</c:v>
                </c:pt>
                <c:pt idx="3">
                  <c:v>0.3</c:v>
                </c:pt>
                <c:pt idx="4">
                  <c:v>0</c:v>
                </c:pt>
                <c:pt idx="5">
                  <c:v>-1.2110000000000001</c:v>
                </c:pt>
                <c:pt idx="6">
                  <c:v>-0.71099999999999997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0C-4CB0-8B35-42C3B30A2930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All'!$O$2,'OL - All'!$O$5,'OL - All'!$O$8,'OL - All'!$O$11,'OL - All'!$O$14,'OL - All'!$O$17,'OL - All'!$O$20)</c:f>
              <c:numCache>
                <c:formatCode>0.0%</c:formatCode>
                <c:ptCount val="7"/>
                <c:pt idx="0">
                  <c:v>0.432</c:v>
                </c:pt>
                <c:pt idx="1">
                  <c:v>0.36699999999999999</c:v>
                </c:pt>
                <c:pt idx="2">
                  <c:v>0</c:v>
                </c:pt>
                <c:pt idx="3">
                  <c:v>0.24299999999999999</c:v>
                </c:pt>
                <c:pt idx="4">
                  <c:v>0</c:v>
                </c:pt>
                <c:pt idx="5">
                  <c:v>0.39300000000000002</c:v>
                </c:pt>
                <c:pt idx="6">
                  <c:v>0.48199999999999998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0C-4CB0-8B35-42C3B30A2930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All'!$V$2,'OL - All'!$V$5,'OL - All'!$V$8,'OL - All'!$V$11,'OL - All'!$V$14,'OL - All'!$V$17,'OL - All'!$V$20)</c:f>
              <c:numCache>
                <c:formatCode>0.0%</c:formatCode>
                <c:ptCount val="7"/>
                <c:pt idx="0">
                  <c:v>0.42499999999999999</c:v>
                </c:pt>
                <c:pt idx="1">
                  <c:v>0.41699999999999998</c:v>
                </c:pt>
                <c:pt idx="2">
                  <c:v>0</c:v>
                </c:pt>
                <c:pt idx="3">
                  <c:v>0.33700000000000002</c:v>
                </c:pt>
                <c:pt idx="4">
                  <c:v>0</c:v>
                </c:pt>
                <c:pt idx="5">
                  <c:v>0.251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0C-4CB0-8B35-42C3B30A29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GP%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All'!$I$3,'OL - All'!$I$6,'OL - All'!$I$9,'OL - All'!$I$12,'OL - All'!$I$15,'OL - All'!$I$18,'OL - All'!$I$21)</c:f>
              <c:numCache>
                <c:formatCode>0.0%</c:formatCode>
                <c:ptCount val="7"/>
                <c:pt idx="0">
                  <c:v>0.35499999999999998</c:v>
                </c:pt>
                <c:pt idx="1">
                  <c:v>0.46500000000000002</c:v>
                </c:pt>
                <c:pt idx="2">
                  <c:v>0</c:v>
                </c:pt>
                <c:pt idx="3">
                  <c:v>0.28100000000000003</c:v>
                </c:pt>
                <c:pt idx="4">
                  <c:v>0</c:v>
                </c:pt>
                <c:pt idx="5">
                  <c:v>0.41799999999999998</c:v>
                </c:pt>
                <c:pt idx="6">
                  <c:v>-1.056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A-4180-8E62-D3163F78EEC9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All'!$O$3,'OL - All'!$O$6,'OL - All'!$O$9,'OL - All'!$O$12,'OL - All'!$O$15,'OL - All'!$O$18,'OL - All'!$O$21)</c:f>
              <c:numCache>
                <c:formatCode>0.0%</c:formatCode>
                <c:ptCount val="7"/>
                <c:pt idx="0">
                  <c:v>0.32500000000000001</c:v>
                </c:pt>
                <c:pt idx="1">
                  <c:v>0.41</c:v>
                </c:pt>
                <c:pt idx="2">
                  <c:v>0</c:v>
                </c:pt>
                <c:pt idx="3">
                  <c:v>1.7000000000000001E-2</c:v>
                </c:pt>
                <c:pt idx="4">
                  <c:v>0</c:v>
                </c:pt>
                <c:pt idx="5">
                  <c:v>0.182</c:v>
                </c:pt>
                <c:pt idx="6">
                  <c:v>0.40200000000000002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A-4180-8E62-D3163F78EEC9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All'!$V$3,'OL - All'!$V$6,'OL - All'!$V$9,'OL - All'!$V$12,'OL - All'!$V$15,'OL - All'!$V$18,'OL - All'!$V$21)</c:f>
              <c:numCache>
                <c:formatCode>0.0%</c:formatCode>
                <c:ptCount val="7"/>
                <c:pt idx="0">
                  <c:v>0.39200000000000002</c:v>
                </c:pt>
                <c:pt idx="1">
                  <c:v>9.0999999999999998E-2</c:v>
                </c:pt>
                <c:pt idx="2">
                  <c:v>0</c:v>
                </c:pt>
                <c:pt idx="3">
                  <c:v>0.222</c:v>
                </c:pt>
                <c:pt idx="4">
                  <c:v>0</c:v>
                </c:pt>
                <c:pt idx="5">
                  <c:v>0.248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A-4180-8E62-D3163F78E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GP%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All'!$I$4,'OL - All'!$I$7,'OL - All'!$I$10,'OL - All'!$I$13,'OL - All'!$I$16,'OL - All'!$I$19,'OL - All'!$I$22)</c:f>
              <c:numCache>
                <c:formatCode>0.0%</c:formatCode>
                <c:ptCount val="7"/>
                <c:pt idx="0">
                  <c:v>0.28699999999999998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-1.1639999999999999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43-4D68-853B-221F5C566B35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All'!$O$4,'OL - All'!$O$7,'OL - All'!$O$10,'OL - All'!$O$13,'OL - All'!$O$16,'OL - All'!$O$19,'OL - All'!$O$22)</c:f>
              <c:numCache>
                <c:formatCode>0.0%</c:formatCode>
                <c:ptCount val="7"/>
                <c:pt idx="0">
                  <c:v>0.42799999999999999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43-4D68-853B-221F5C566B35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All'!$V$4,'OL - All'!$V$7,'OL - All'!$V$10,'OL - All'!$V$13,'OL - All'!$V$16,'OL - All'!$V$19,'OL - All'!$V$22)</c:f>
              <c:numCache>
                <c:formatCode>0.0%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43-4D68-853B-221F5C566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S/C GP$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All'!$H$2,'OL - All'!$H$5,'OL - All'!$H$8,'OL - All'!$H$11,'OL - All'!$H$14,'OL - All'!$H$17,'OL - All'!$H$20)</c:f>
              <c:numCache>
                <c:formatCode>\$#,##0.00</c:formatCode>
                <c:ptCount val="7"/>
                <c:pt idx="0">
                  <c:v>42942.74</c:v>
                </c:pt>
                <c:pt idx="1">
                  <c:v>1809.74</c:v>
                </c:pt>
                <c:pt idx="2">
                  <c:v>0</c:v>
                </c:pt>
                <c:pt idx="3">
                  <c:v>106116.62</c:v>
                </c:pt>
                <c:pt idx="4">
                  <c:v>0</c:v>
                </c:pt>
                <c:pt idx="5">
                  <c:v>-15615.28</c:v>
                </c:pt>
                <c:pt idx="6">
                  <c:v>-43189.39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07-4DF9-B525-AB13957D42A2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All'!$N$2,'OL - All'!$N$5,'OL - All'!$N$8,'OL - All'!$N$11,'OL - All'!$N$14,'OL - All'!$N$17,'OL - All'!$N$20)</c:f>
              <c:numCache>
                <c:formatCode>\$#,##0.00</c:formatCode>
                <c:ptCount val="7"/>
                <c:pt idx="0">
                  <c:v>41866.74</c:v>
                </c:pt>
                <c:pt idx="1">
                  <c:v>1218.58</c:v>
                </c:pt>
                <c:pt idx="2">
                  <c:v>0</c:v>
                </c:pt>
                <c:pt idx="3">
                  <c:v>111903.39</c:v>
                </c:pt>
                <c:pt idx="4">
                  <c:v>0</c:v>
                </c:pt>
                <c:pt idx="5">
                  <c:v>19634.400000000001</c:v>
                </c:pt>
                <c:pt idx="6">
                  <c:v>13609.08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07-4DF9-B525-AB13957D42A2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All'!$B$2,'OL - All'!$B$5,'OL - All'!$B$8,'OL - All'!$B$11,'OL - All'!$B$14,'OL - All'!$B$17,'OL - All'!$B$20)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All'!$U$2,'OL - All'!$U$5,'OL - All'!$U$8,'OL - All'!$U$11,'OL - All'!$U$14,'OL - All'!$U$17,'OL - All'!$U$20)</c:f>
              <c:numCache>
                <c:formatCode>\$#,##0.00</c:formatCode>
                <c:ptCount val="7"/>
                <c:pt idx="0">
                  <c:v>44595.6</c:v>
                </c:pt>
                <c:pt idx="1">
                  <c:v>1275.8399999999999</c:v>
                </c:pt>
                <c:pt idx="2">
                  <c:v>0</c:v>
                </c:pt>
                <c:pt idx="3">
                  <c:v>225086.99</c:v>
                </c:pt>
                <c:pt idx="4">
                  <c:v>0</c:v>
                </c:pt>
                <c:pt idx="5">
                  <c:v>13815.95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07-4DF9-B525-AB13957D42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GP$ Totals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203957969123171"/>
          <c:y val="0.10242238353181024"/>
          <c:w val="0.86209033342316665"/>
          <c:h val="0.62639681810749415"/>
        </c:manualLayout>
      </c:layout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('December 2025 - Dashboard'!$A$3,'December 2025 - Dashboard'!$A$6,'December 2025 - Dashboard'!$A$9,'December 2025 - Dashboard'!$A$12,'December 2025 - Dashboard'!$A$15,'December 2025 - Dashboard'!$A$18,'December 2025 -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('December 2025 - Dashboard'!$J$3,'December 2025 - Dashboard'!$J$6,'December 2025 - Dashboard'!$J$9,'December 2025 - Dashboard'!$J$12,'December 2025 - Dashboard'!$J$15,'December 2025 - Dashboard'!$J$18,'December 2025 - Dashboard'!$J$21)</c:f>
              <c:numCache>
                <c:formatCode>"$"#,##0.00</c:formatCode>
                <c:ptCount val="7"/>
                <c:pt idx="0">
                  <c:v>649113.08000000019</c:v>
                </c:pt>
                <c:pt idx="1">
                  <c:v>1795985.8599999996</c:v>
                </c:pt>
                <c:pt idx="2">
                  <c:v>616823.15999999992</c:v>
                </c:pt>
                <c:pt idx="3">
                  <c:v>1006725.4300000003</c:v>
                </c:pt>
                <c:pt idx="4">
                  <c:v>554177.73</c:v>
                </c:pt>
                <c:pt idx="5">
                  <c:v>92550.49</c:v>
                </c:pt>
                <c:pt idx="6">
                  <c:v>4715375.75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04-424B-9F63-2152271644A2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('December 2025 - Dashboard'!$A$3,'December 2025 - Dashboard'!$A$6,'December 2025 - Dashboard'!$A$9,'December 2025 - Dashboard'!$A$12,'December 2025 - Dashboard'!$A$15,'December 2025 - Dashboard'!$A$18,'December 2025 -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('December 2025 - Dashboard'!$V$3,'December 2025 - Dashboard'!$V$6,'December 2025 - Dashboard'!$V$9,'December 2025 - Dashboard'!$V$12,'December 2025 - Dashboard'!$V$15,'December 2025 - Dashboard'!$V$18,'December 2025 - Dashboard'!$V$21)</c:f>
              <c:numCache>
                <c:formatCode>"$"#,##0.00</c:formatCode>
                <c:ptCount val="7"/>
                <c:pt idx="0">
                  <c:v>734893.44000000006</c:v>
                </c:pt>
                <c:pt idx="1">
                  <c:v>1670932.3199999998</c:v>
                </c:pt>
                <c:pt idx="2">
                  <c:v>611665.51000000013</c:v>
                </c:pt>
                <c:pt idx="3">
                  <c:v>963288.29000000015</c:v>
                </c:pt>
                <c:pt idx="4">
                  <c:v>470074.52999999997</c:v>
                </c:pt>
                <c:pt idx="5">
                  <c:v>191620.38999999998</c:v>
                </c:pt>
                <c:pt idx="6">
                  <c:v>4642474.4799999995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04-424B-9F63-2152271644A2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('December 2025 - Dashboard'!$A$3,'December 2025 - Dashboard'!$A$6,'December 2025 - Dashboard'!$A$9,'December 2025 - Dashboard'!$A$12,'December 2025 - Dashboard'!$A$15,'December 2025 - Dashboard'!$A$18,'December 2025 - Dashboard'!$A$21)</c:f>
              <c:strCache>
                <c:ptCount val="7"/>
                <c:pt idx="0">
                  <c:v>Building Materials Total</c:v>
                </c:pt>
                <c:pt idx="1">
                  <c:v>Lumber Total</c:v>
                </c:pt>
                <c:pt idx="2">
                  <c:v>Millwork Total</c:v>
                </c:pt>
                <c:pt idx="3">
                  <c:v>Hardware Total</c:v>
                </c:pt>
                <c:pt idx="4">
                  <c:v>Paint Total</c:v>
                </c:pt>
                <c:pt idx="5">
                  <c:v>Outdoor Living Total</c:v>
                </c:pt>
                <c:pt idx="6">
                  <c:v>Total:</c:v>
                </c:pt>
              </c:strCache>
            </c:strRef>
          </c:cat>
          <c:val>
            <c:numRef>
              <c:f>('December 2025 - Dashboard'!$AI$3,'December 2025 - Dashboard'!$AI$6,'December 2025 - Dashboard'!$AI$9,'December 2025 - Dashboard'!$AI$12,'December 2025 - Dashboard'!$AI$15,'December 2025 - Dashboard'!$AI$18,'December 2025 - Dashboard'!$AI$21)</c:f>
              <c:numCache>
                <c:formatCode>"$"#,##0.00</c:formatCode>
                <c:ptCount val="7"/>
                <c:pt idx="0">
                  <c:v>732533.4</c:v>
                </c:pt>
                <c:pt idx="1">
                  <c:v>1670223.8700000003</c:v>
                </c:pt>
                <c:pt idx="2">
                  <c:v>599926.24</c:v>
                </c:pt>
                <c:pt idx="3">
                  <c:v>997376.24</c:v>
                </c:pt>
                <c:pt idx="4">
                  <c:v>440067.37</c:v>
                </c:pt>
                <c:pt idx="5">
                  <c:v>291247.36000000004</c:v>
                </c:pt>
                <c:pt idx="6">
                  <c:v>4731374.4800000014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04-424B-9F63-2152271644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5263751"/>
        <c:axId val="1175269895"/>
      </c:barChart>
      <c:catAx>
        <c:axId val="1175263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9895"/>
        <c:crosses val="autoZero"/>
        <c:auto val="1"/>
        <c:lblAlgn val="ctr"/>
        <c:lblOffset val="100"/>
        <c:noMultiLvlLbl val="0"/>
      </c:catAx>
      <c:valAx>
        <c:axId val="1175269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26375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Tuck GP$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All'!$H$3,'OL - All'!$H$6,'OL - All'!$H$9,'OL - All'!$H$12,'OL - All'!$H$15,'OL - All'!$H$18,'OL - All'!$H$21)</c:f>
              <c:numCache>
                <c:formatCode>\$#,##0.00</c:formatCode>
                <c:ptCount val="7"/>
                <c:pt idx="0">
                  <c:v>2665.24</c:v>
                </c:pt>
                <c:pt idx="1">
                  <c:v>27.01</c:v>
                </c:pt>
                <c:pt idx="2">
                  <c:v>0</c:v>
                </c:pt>
                <c:pt idx="3">
                  <c:v>2176.52</c:v>
                </c:pt>
                <c:pt idx="4">
                  <c:v>0</c:v>
                </c:pt>
                <c:pt idx="5">
                  <c:v>3117.38</c:v>
                </c:pt>
                <c:pt idx="6">
                  <c:v>-2274.37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D6-49E7-B5BB-D775A7792E3B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All'!$N$3,'OL - All'!$N$6,'OL - All'!$N$9,'OL - All'!$N$12,'OL - All'!$N$15,'OL - All'!$N$18,'OL - All'!$N$21)</c:f>
              <c:numCache>
                <c:formatCode>\$#,##0.00</c:formatCode>
                <c:ptCount val="7"/>
                <c:pt idx="0">
                  <c:v>2070.54</c:v>
                </c:pt>
                <c:pt idx="1">
                  <c:v>56.24</c:v>
                </c:pt>
                <c:pt idx="2">
                  <c:v>0</c:v>
                </c:pt>
                <c:pt idx="3">
                  <c:v>229.48</c:v>
                </c:pt>
                <c:pt idx="4">
                  <c:v>0</c:v>
                </c:pt>
                <c:pt idx="5">
                  <c:v>838.31</c:v>
                </c:pt>
                <c:pt idx="6">
                  <c:v>87.96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D6-49E7-B5BB-D775A7792E3B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All'!$B$3,'OL - All'!$B$6,'OL - All'!$B$9,'OL - All'!$B$12,'OL - All'!$B$15,'OL - All'!$B$18,'OL - All'!$B$21)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All'!$U$3,'OL - All'!$U$6,'OL - All'!$U$9,'OL - All'!$U$12,'OL - All'!$U$15,'OL - All'!$U$18,'OL - All'!$U$21)</c:f>
              <c:numCache>
                <c:formatCode>\$#,##0.00</c:formatCode>
                <c:ptCount val="7"/>
                <c:pt idx="0">
                  <c:v>1484.57</c:v>
                </c:pt>
                <c:pt idx="1">
                  <c:v>3.55</c:v>
                </c:pt>
                <c:pt idx="2">
                  <c:v>0</c:v>
                </c:pt>
                <c:pt idx="3">
                  <c:v>2932.34</c:v>
                </c:pt>
                <c:pt idx="4">
                  <c:v>0</c:v>
                </c:pt>
                <c:pt idx="5">
                  <c:v>2052.52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D6-49E7-B5BB-D775A7792E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Paint Store GP$ 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All'!$H$4,'OL - All'!$H$7,'OL - All'!$H$10,'OL - All'!$H$13,'OL - All'!$H$16,'OL - All'!$H$19,'OL - All'!$H$22)</c:f>
              <c:numCache>
                <c:formatCode>\$#,##0.00</c:formatCode>
                <c:ptCount val="7"/>
                <c:pt idx="0">
                  <c:v>12.28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-5238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26-4698-941B-7B0F92645FF0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All'!$N$4,'OL - All'!$N$7,'OL - All'!$N$10,'OL - All'!$N$13,'OL - All'!$N$16,'OL - All'!$N$19,'OL - All'!$N$22)</c:f>
              <c:numCache>
                <c:formatCode>\$#,##0.00</c:formatCode>
                <c:ptCount val="7"/>
                <c:pt idx="0">
                  <c:v>105.67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26-4698-941B-7B0F92645FF0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('OL - All'!$B$4,'OL - All'!$B$7,'OL - All'!$B$10,'OL - All'!$B$13,'OL - All'!$B$16,'OL - All'!$B$19,'OL - All'!$B$22)</c:f>
              <c:strCache>
                <c:ptCount val="7"/>
                <c:pt idx="0">
                  <c:v>55 LAWN &amp; GARDEN</c:v>
                </c:pt>
                <c:pt idx="1">
                  <c:v>58 PET &amp; WILD BIRD</c:v>
                </c:pt>
                <c:pt idx="2">
                  <c:v>62 FARM &amp; RANCH</c:v>
                </c:pt>
                <c:pt idx="3">
                  <c:v>68 OUTDOOR LIVING &amp; PATIO</c:v>
                </c:pt>
                <c:pt idx="4">
                  <c:v>SE SEASCAPES</c:v>
                </c:pt>
                <c:pt idx="5">
                  <c:v>SO SPECIAL ORDER OUTDOOR LIVING</c:v>
                </c:pt>
                <c:pt idx="6">
                  <c:v>XO DISCONTINUED OUTDOOR LIVING</c:v>
                </c:pt>
              </c:strCache>
            </c:strRef>
          </c:cat>
          <c:val>
            <c:numRef>
              <c:f>('OL - All'!$U$4,'OL - All'!$U$7,'OL - All'!$U$10,'OL - All'!$U$13,'OL - All'!$U$16,'OL - All'!$U$19,'OL - All'!$U$22)</c:f>
              <c:numCache>
                <c:formatCode>\$#,##0.00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26-4698-941B-7B0F92645F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4114439"/>
        <c:axId val="604116487"/>
      </c:barChart>
      <c:catAx>
        <c:axId val="604114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6487"/>
        <c:crosses val="autoZero"/>
        <c:auto val="1"/>
        <c:lblAlgn val="ctr"/>
        <c:lblOffset val="100"/>
        <c:noMultiLvlLbl val="0"/>
      </c:catAx>
      <c:valAx>
        <c:axId val="604116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$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11443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All GP$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0087675844495818E-2"/>
          <c:y val="6.1160156108113352E-2"/>
          <c:w val="0.91424274815064155"/>
          <c:h val="0.81836580029604089"/>
        </c:manualLayout>
      </c:layout>
      <c:barChart>
        <c:barDir val="col"/>
        <c:grouping val="clustered"/>
        <c:varyColors val="0"/>
        <c:ser>
          <c:idx val="0"/>
          <c:order val="0"/>
          <c:tx>
            <c:v>2025</c:v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'December 2025 -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'December 2025 - Dashboard'!$J$3:$J$21</c:f>
              <c:numCache>
                <c:formatCode>"$"#,##0.00</c:formatCode>
                <c:ptCount val="19"/>
                <c:pt idx="0">
                  <c:v>649113.08000000019</c:v>
                </c:pt>
                <c:pt idx="1">
                  <c:v>649113.08000000019</c:v>
                </c:pt>
                <c:pt idx="2">
                  <c:v>0</c:v>
                </c:pt>
                <c:pt idx="3">
                  <c:v>1795985.8599999996</c:v>
                </c:pt>
                <c:pt idx="4">
                  <c:v>1388767.0699999998</c:v>
                </c:pt>
                <c:pt idx="5">
                  <c:v>407218.79</c:v>
                </c:pt>
                <c:pt idx="6">
                  <c:v>616823.15999999992</c:v>
                </c:pt>
                <c:pt idx="7">
                  <c:v>83817.12999999999</c:v>
                </c:pt>
                <c:pt idx="8">
                  <c:v>533006.02999999991</c:v>
                </c:pt>
                <c:pt idx="9">
                  <c:v>1006725.4300000003</c:v>
                </c:pt>
                <c:pt idx="10">
                  <c:v>933944.43000000028</c:v>
                </c:pt>
                <c:pt idx="11">
                  <c:v>72781</c:v>
                </c:pt>
                <c:pt idx="12">
                  <c:v>554177.73</c:v>
                </c:pt>
                <c:pt idx="13">
                  <c:v>478860.48</c:v>
                </c:pt>
                <c:pt idx="14">
                  <c:v>7057.55</c:v>
                </c:pt>
                <c:pt idx="15">
                  <c:v>92550.49</c:v>
                </c:pt>
                <c:pt idx="16">
                  <c:v>105048.39</c:v>
                </c:pt>
                <c:pt idx="17">
                  <c:v>-12497.900000000001</c:v>
                </c:pt>
                <c:pt idx="18">
                  <c:v>4715375.75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E9-4623-8599-5012C7B06BDA}"/>
            </c:ext>
          </c:extLst>
        </c:ser>
        <c:ser>
          <c:idx val="1"/>
          <c:order val="1"/>
          <c:tx>
            <c:v>2024</c:v>
          </c:tx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'December 2025 -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'December 2025 - Dashboard'!$V$3:$V$21</c:f>
              <c:numCache>
                <c:formatCode>"$"#,##0.00</c:formatCode>
                <c:ptCount val="19"/>
                <c:pt idx="0">
                  <c:v>734893.44000000006</c:v>
                </c:pt>
                <c:pt idx="1">
                  <c:v>734893.44000000006</c:v>
                </c:pt>
                <c:pt idx="2">
                  <c:v>0</c:v>
                </c:pt>
                <c:pt idx="3">
                  <c:v>1670932.3199999998</c:v>
                </c:pt>
                <c:pt idx="4">
                  <c:v>1242434.0299999998</c:v>
                </c:pt>
                <c:pt idx="5">
                  <c:v>428498.29</c:v>
                </c:pt>
                <c:pt idx="6">
                  <c:v>611665.51000000013</c:v>
                </c:pt>
                <c:pt idx="7">
                  <c:v>88709.43</c:v>
                </c:pt>
                <c:pt idx="8">
                  <c:v>522956.07999999996</c:v>
                </c:pt>
                <c:pt idx="9">
                  <c:v>963288.29000000015</c:v>
                </c:pt>
                <c:pt idx="10">
                  <c:v>908650.94000000018</c:v>
                </c:pt>
                <c:pt idx="11">
                  <c:v>54637.350000000006</c:v>
                </c:pt>
                <c:pt idx="12">
                  <c:v>470074.52999999997</c:v>
                </c:pt>
                <c:pt idx="13">
                  <c:v>454067.33999999997</c:v>
                </c:pt>
                <c:pt idx="14">
                  <c:v>36.61</c:v>
                </c:pt>
                <c:pt idx="15">
                  <c:v>191620.38999999998</c:v>
                </c:pt>
                <c:pt idx="16">
                  <c:v>171147.68</c:v>
                </c:pt>
                <c:pt idx="17">
                  <c:v>20472.710000000003</c:v>
                </c:pt>
                <c:pt idx="18">
                  <c:v>4642474.4799999995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E9-4623-8599-5012C7B06BDA}"/>
            </c:ext>
          </c:extLst>
        </c:ser>
        <c:ser>
          <c:idx val="2"/>
          <c:order val="2"/>
          <c:tx>
            <c:v>2023</c:v>
          </c:tx>
          <c:spPr>
            <a:solidFill>
              <a:schemeClr val="accent3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'December 2025 - Dashboard'!$A$3:$A$21</c:f>
              <c:strCache>
                <c:ptCount val="19"/>
                <c:pt idx="0">
                  <c:v>Building Materials Total</c:v>
                </c:pt>
                <c:pt idx="1">
                  <c:v>BM Stock</c:v>
                </c:pt>
                <c:pt idx="2">
                  <c:v>BM Special Order</c:v>
                </c:pt>
                <c:pt idx="3">
                  <c:v>Lumber Total</c:v>
                </c:pt>
                <c:pt idx="4">
                  <c:v>L Stock</c:v>
                </c:pt>
                <c:pt idx="5">
                  <c:v>L Special Order</c:v>
                </c:pt>
                <c:pt idx="6">
                  <c:v>Millwork Total</c:v>
                </c:pt>
                <c:pt idx="7">
                  <c:v>M Stock</c:v>
                </c:pt>
                <c:pt idx="8">
                  <c:v>M Special Order</c:v>
                </c:pt>
                <c:pt idx="9">
                  <c:v>Hardware Total</c:v>
                </c:pt>
                <c:pt idx="10">
                  <c:v>HW Stock</c:v>
                </c:pt>
                <c:pt idx="11">
                  <c:v>HW Special Order</c:v>
                </c:pt>
                <c:pt idx="12">
                  <c:v>Paint Total</c:v>
                </c:pt>
                <c:pt idx="13">
                  <c:v>P Stock</c:v>
                </c:pt>
                <c:pt idx="14">
                  <c:v>P Special Order</c:v>
                </c:pt>
                <c:pt idx="15">
                  <c:v>Outdoor Living Total</c:v>
                </c:pt>
                <c:pt idx="16">
                  <c:v>OL Stock</c:v>
                </c:pt>
                <c:pt idx="17">
                  <c:v>OL Special Order</c:v>
                </c:pt>
                <c:pt idx="18">
                  <c:v>Total:</c:v>
                </c:pt>
              </c:strCache>
            </c:strRef>
          </c:cat>
          <c:val>
            <c:numRef>
              <c:f>'December 2025 - Dashboard'!$AI$3:$AI$21</c:f>
              <c:numCache>
                <c:formatCode>"$"#,##0.00</c:formatCode>
                <c:ptCount val="19"/>
                <c:pt idx="0">
                  <c:v>732533.4</c:v>
                </c:pt>
                <c:pt idx="1">
                  <c:v>732533.4</c:v>
                </c:pt>
                <c:pt idx="2">
                  <c:v>0</c:v>
                </c:pt>
                <c:pt idx="3">
                  <c:v>1670223.8700000003</c:v>
                </c:pt>
                <c:pt idx="4">
                  <c:v>1327901.7500000002</c:v>
                </c:pt>
                <c:pt idx="5">
                  <c:v>342322.12</c:v>
                </c:pt>
                <c:pt idx="6">
                  <c:v>599926.24</c:v>
                </c:pt>
                <c:pt idx="7">
                  <c:v>102594.83</c:v>
                </c:pt>
                <c:pt idx="8">
                  <c:v>497331.41</c:v>
                </c:pt>
                <c:pt idx="9">
                  <c:v>997376.24</c:v>
                </c:pt>
                <c:pt idx="10">
                  <c:v>936997.37999999989</c:v>
                </c:pt>
                <c:pt idx="11">
                  <c:v>60378.86</c:v>
                </c:pt>
                <c:pt idx="12">
                  <c:v>440067.37</c:v>
                </c:pt>
                <c:pt idx="13">
                  <c:v>439152.07</c:v>
                </c:pt>
                <c:pt idx="14">
                  <c:v>2.95</c:v>
                </c:pt>
                <c:pt idx="15">
                  <c:v>291247.36000000004</c:v>
                </c:pt>
                <c:pt idx="16">
                  <c:v>275378.89</c:v>
                </c:pt>
                <c:pt idx="17">
                  <c:v>15868.470000000001</c:v>
                </c:pt>
                <c:pt idx="18">
                  <c:v>4731374.4800000014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E9-4623-8599-5012C7B06B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20162287"/>
        <c:axId val="1820163727"/>
      </c:barChart>
      <c:catAx>
        <c:axId val="18201622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0163727"/>
        <c:crosses val="autoZero"/>
        <c:auto val="1"/>
        <c:lblAlgn val="ctr"/>
        <c:lblOffset val="100"/>
        <c:noMultiLvlLbl val="0"/>
      </c:catAx>
      <c:valAx>
        <c:axId val="18201637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016228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8790094304466656"/>
          <c:y val="0.13807020364620579"/>
          <c:w val="0.21120259174204184"/>
          <c:h val="4.70060038348188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12" Type="http://schemas.openxmlformats.org/officeDocument/2006/relationships/chart" Target="../charts/chart21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11" Type="http://schemas.openxmlformats.org/officeDocument/2006/relationships/chart" Target="../charts/chart20.xml"/><Relationship Id="rId5" Type="http://schemas.openxmlformats.org/officeDocument/2006/relationships/chart" Target="../charts/chart14.xml"/><Relationship Id="rId10" Type="http://schemas.openxmlformats.org/officeDocument/2006/relationships/chart" Target="../charts/chart19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9.xml"/><Relationship Id="rId3" Type="http://schemas.openxmlformats.org/officeDocument/2006/relationships/chart" Target="../charts/chart24.xml"/><Relationship Id="rId7" Type="http://schemas.openxmlformats.org/officeDocument/2006/relationships/chart" Target="../charts/chart28.xml"/><Relationship Id="rId12" Type="http://schemas.openxmlformats.org/officeDocument/2006/relationships/chart" Target="../charts/chart33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6" Type="http://schemas.openxmlformats.org/officeDocument/2006/relationships/chart" Target="../charts/chart27.xml"/><Relationship Id="rId11" Type="http://schemas.openxmlformats.org/officeDocument/2006/relationships/chart" Target="../charts/chart32.xml"/><Relationship Id="rId5" Type="http://schemas.openxmlformats.org/officeDocument/2006/relationships/chart" Target="../charts/chart26.xml"/><Relationship Id="rId10" Type="http://schemas.openxmlformats.org/officeDocument/2006/relationships/chart" Target="../charts/chart31.xml"/><Relationship Id="rId4" Type="http://schemas.openxmlformats.org/officeDocument/2006/relationships/chart" Target="../charts/chart25.xml"/><Relationship Id="rId9" Type="http://schemas.openxmlformats.org/officeDocument/2006/relationships/chart" Target="../charts/chart30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1.xml"/><Relationship Id="rId3" Type="http://schemas.openxmlformats.org/officeDocument/2006/relationships/chart" Target="../charts/chart36.xml"/><Relationship Id="rId7" Type="http://schemas.openxmlformats.org/officeDocument/2006/relationships/chart" Target="../charts/chart40.xml"/><Relationship Id="rId12" Type="http://schemas.openxmlformats.org/officeDocument/2006/relationships/chart" Target="../charts/chart45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Relationship Id="rId6" Type="http://schemas.openxmlformats.org/officeDocument/2006/relationships/chart" Target="../charts/chart39.xml"/><Relationship Id="rId11" Type="http://schemas.openxmlformats.org/officeDocument/2006/relationships/chart" Target="../charts/chart44.xml"/><Relationship Id="rId5" Type="http://schemas.openxmlformats.org/officeDocument/2006/relationships/chart" Target="../charts/chart38.xml"/><Relationship Id="rId10" Type="http://schemas.openxmlformats.org/officeDocument/2006/relationships/chart" Target="../charts/chart43.xml"/><Relationship Id="rId4" Type="http://schemas.openxmlformats.org/officeDocument/2006/relationships/chart" Target="../charts/chart37.xml"/><Relationship Id="rId9" Type="http://schemas.openxmlformats.org/officeDocument/2006/relationships/chart" Target="../charts/chart42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3.xml"/><Relationship Id="rId3" Type="http://schemas.openxmlformats.org/officeDocument/2006/relationships/chart" Target="../charts/chart48.xml"/><Relationship Id="rId7" Type="http://schemas.openxmlformats.org/officeDocument/2006/relationships/chart" Target="../charts/chart52.xml"/><Relationship Id="rId12" Type="http://schemas.openxmlformats.org/officeDocument/2006/relationships/chart" Target="../charts/chart57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Relationship Id="rId6" Type="http://schemas.openxmlformats.org/officeDocument/2006/relationships/chart" Target="../charts/chart51.xml"/><Relationship Id="rId11" Type="http://schemas.openxmlformats.org/officeDocument/2006/relationships/chart" Target="../charts/chart56.xml"/><Relationship Id="rId5" Type="http://schemas.openxmlformats.org/officeDocument/2006/relationships/chart" Target="../charts/chart50.xml"/><Relationship Id="rId10" Type="http://schemas.openxmlformats.org/officeDocument/2006/relationships/chart" Target="../charts/chart55.xml"/><Relationship Id="rId4" Type="http://schemas.openxmlformats.org/officeDocument/2006/relationships/chart" Target="../charts/chart49.xml"/><Relationship Id="rId9" Type="http://schemas.openxmlformats.org/officeDocument/2006/relationships/chart" Target="../charts/chart54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5.xml"/><Relationship Id="rId3" Type="http://schemas.openxmlformats.org/officeDocument/2006/relationships/chart" Target="../charts/chart60.xml"/><Relationship Id="rId7" Type="http://schemas.openxmlformats.org/officeDocument/2006/relationships/chart" Target="../charts/chart64.xml"/><Relationship Id="rId12" Type="http://schemas.openxmlformats.org/officeDocument/2006/relationships/chart" Target="../charts/chart69.xml"/><Relationship Id="rId2" Type="http://schemas.openxmlformats.org/officeDocument/2006/relationships/chart" Target="../charts/chart59.xml"/><Relationship Id="rId1" Type="http://schemas.openxmlformats.org/officeDocument/2006/relationships/chart" Target="../charts/chart58.xml"/><Relationship Id="rId6" Type="http://schemas.openxmlformats.org/officeDocument/2006/relationships/chart" Target="../charts/chart63.xml"/><Relationship Id="rId11" Type="http://schemas.openxmlformats.org/officeDocument/2006/relationships/chart" Target="../charts/chart68.xml"/><Relationship Id="rId5" Type="http://schemas.openxmlformats.org/officeDocument/2006/relationships/chart" Target="../charts/chart62.xml"/><Relationship Id="rId10" Type="http://schemas.openxmlformats.org/officeDocument/2006/relationships/chart" Target="../charts/chart67.xml"/><Relationship Id="rId4" Type="http://schemas.openxmlformats.org/officeDocument/2006/relationships/chart" Target="../charts/chart61.xml"/><Relationship Id="rId9" Type="http://schemas.openxmlformats.org/officeDocument/2006/relationships/chart" Target="../charts/chart66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7.xml"/><Relationship Id="rId3" Type="http://schemas.openxmlformats.org/officeDocument/2006/relationships/chart" Target="../charts/chart72.xml"/><Relationship Id="rId7" Type="http://schemas.openxmlformats.org/officeDocument/2006/relationships/chart" Target="../charts/chart76.xml"/><Relationship Id="rId12" Type="http://schemas.openxmlformats.org/officeDocument/2006/relationships/chart" Target="../charts/chart81.xml"/><Relationship Id="rId2" Type="http://schemas.openxmlformats.org/officeDocument/2006/relationships/chart" Target="../charts/chart71.xml"/><Relationship Id="rId1" Type="http://schemas.openxmlformats.org/officeDocument/2006/relationships/chart" Target="../charts/chart70.xml"/><Relationship Id="rId6" Type="http://schemas.openxmlformats.org/officeDocument/2006/relationships/chart" Target="../charts/chart75.xml"/><Relationship Id="rId11" Type="http://schemas.openxmlformats.org/officeDocument/2006/relationships/chart" Target="../charts/chart80.xml"/><Relationship Id="rId5" Type="http://schemas.openxmlformats.org/officeDocument/2006/relationships/chart" Target="../charts/chart74.xml"/><Relationship Id="rId10" Type="http://schemas.openxmlformats.org/officeDocument/2006/relationships/chart" Target="../charts/chart79.xml"/><Relationship Id="rId4" Type="http://schemas.openxmlformats.org/officeDocument/2006/relationships/chart" Target="../charts/chart73.xml"/><Relationship Id="rId9" Type="http://schemas.openxmlformats.org/officeDocument/2006/relationships/chart" Target="../charts/chart7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215088</xdr:colOff>
      <xdr:row>56</xdr:row>
      <xdr:rowOff>73024</xdr:rowOff>
    </xdr:from>
    <xdr:to>
      <xdr:col>10</xdr:col>
      <xdr:colOff>745829</xdr:colOff>
      <xdr:row>89</xdr:row>
      <xdr:rowOff>51832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8544097-5AF0-4BBC-C48C-5A7BEDB166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226828</xdr:colOff>
      <xdr:row>50</xdr:row>
      <xdr:rowOff>12626</xdr:rowOff>
    </xdr:from>
    <xdr:to>
      <xdr:col>26</xdr:col>
      <xdr:colOff>514793</xdr:colOff>
      <xdr:row>71</xdr:row>
      <xdr:rowOff>98352</xdr:rowOff>
    </xdr:to>
    <xdr:graphicFrame macro="">
      <xdr:nvGraphicFramePr>
        <xdr:cNvPr id="84" name="Chart 2">
          <a:extLst>
            <a:ext uri="{FF2B5EF4-FFF2-40B4-BE49-F238E27FC236}">
              <a16:creationId xmlns:a16="http://schemas.microsoft.com/office/drawing/2014/main" id="{04BB1D85-88CD-86CC-D48A-D4DDCBBEFF18}"/>
            </a:ext>
            <a:ext uri="{147F2762-F138-4A5C-976F-8EAC2B608ADB}">
              <a16:predDERef xmlns:a16="http://schemas.microsoft.com/office/drawing/2014/main" pred="{D8544097-5AF0-4BBC-C48C-5A7BEDB166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221069</xdr:colOff>
      <xdr:row>50</xdr:row>
      <xdr:rowOff>222</xdr:rowOff>
    </xdr:from>
    <xdr:to>
      <xdr:col>48</xdr:col>
      <xdr:colOff>202905</xdr:colOff>
      <xdr:row>78</xdr:row>
      <xdr:rowOff>178981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318B227D-27AB-B1C7-64EA-C2E374BCB1A7}"/>
            </a:ext>
            <a:ext uri="{147F2762-F138-4A5C-976F-8EAC2B608ADB}">
              <a16:predDERef xmlns:a16="http://schemas.microsoft.com/office/drawing/2014/main" pred="{04BB1D85-88CD-86CC-D48A-D4DDCBBEFF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38</xdr:col>
      <xdr:colOff>632416</xdr:colOff>
      <xdr:row>22</xdr:row>
      <xdr:rowOff>22152</xdr:rowOff>
    </xdr:from>
    <xdr:to>
      <xdr:col>48</xdr:col>
      <xdr:colOff>633302</xdr:colOff>
      <xdr:row>49</xdr:row>
      <xdr:rowOff>126927</xdr:rowOff>
    </xdr:to>
    <xdr:graphicFrame macro="">
      <xdr:nvGraphicFramePr>
        <xdr:cNvPr id="76" name="Chart 4">
          <a:extLst>
            <a:ext uri="{FF2B5EF4-FFF2-40B4-BE49-F238E27FC236}">
              <a16:creationId xmlns:a16="http://schemas.microsoft.com/office/drawing/2014/main" id="{5CB6FF35-8232-E907-90D0-852DED6173A7}"/>
            </a:ext>
            <a:ext uri="{147F2762-F138-4A5C-976F-8EAC2B608ADB}">
              <a16:predDERef xmlns:a16="http://schemas.microsoft.com/office/drawing/2014/main" pred="{318B227D-27AB-B1C7-64EA-C2E374BCB1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223726</xdr:colOff>
      <xdr:row>72</xdr:row>
      <xdr:rowOff>16170</xdr:rowOff>
    </xdr:from>
    <xdr:to>
      <xdr:col>26</xdr:col>
      <xdr:colOff>502166</xdr:colOff>
      <xdr:row>96</xdr:row>
      <xdr:rowOff>25695</xdr:rowOff>
    </xdr:to>
    <xdr:graphicFrame macro="">
      <xdr:nvGraphicFramePr>
        <xdr:cNvPr id="88" name="Chart 5">
          <a:extLst>
            <a:ext uri="{FF2B5EF4-FFF2-40B4-BE49-F238E27FC236}">
              <a16:creationId xmlns:a16="http://schemas.microsoft.com/office/drawing/2014/main" id="{8D826EB8-C61B-6122-BFD7-CDADDBF3A6C7}"/>
            </a:ext>
            <a:ext uri="{147F2762-F138-4A5C-976F-8EAC2B608ADB}">
              <a16:predDERef xmlns:a16="http://schemas.microsoft.com/office/drawing/2014/main" pred="{5CB6FF35-8232-E907-90D0-852DED6173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171450</xdr:colOff>
      <xdr:row>21</xdr:row>
      <xdr:rowOff>180975</xdr:rowOff>
    </xdr:from>
    <xdr:to>
      <xdr:col>10</xdr:col>
      <xdr:colOff>800100</xdr:colOff>
      <xdr:row>55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63C4572-55C0-45DA-A191-8AEF187E37DA}"/>
            </a:ext>
            <a:ext uri="{147F2762-F138-4A5C-976F-8EAC2B608ADB}">
              <a16:predDERef xmlns:a16="http://schemas.microsoft.com/office/drawing/2014/main" pred="{8D826EB8-C61B-6122-BFD7-CDADDBF3A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207778</xdr:colOff>
      <xdr:row>21</xdr:row>
      <xdr:rowOff>180975</xdr:rowOff>
    </xdr:from>
    <xdr:to>
      <xdr:col>26</xdr:col>
      <xdr:colOff>467168</xdr:colOff>
      <xdr:row>49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B7FC0E8-6C8F-4469-8A9A-2CFBDCFEAA2D}"/>
            </a:ext>
            <a:ext uri="{147F2762-F138-4A5C-976F-8EAC2B608ADB}">
              <a16:predDERef xmlns:a16="http://schemas.microsoft.com/office/drawing/2014/main" pred="{E63C4572-55C0-45DA-A191-8AEF187E37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0</xdr:colOff>
      <xdr:row>22</xdr:row>
      <xdr:rowOff>0</xdr:rowOff>
    </xdr:from>
    <xdr:to>
      <xdr:col>38</xdr:col>
      <xdr:colOff>121831</xdr:colOff>
      <xdr:row>55</xdr:row>
      <xdr:rowOff>16835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81435FC-A065-46B2-ACFA-E7916FB8A659}"/>
            </a:ext>
            <a:ext uri="{147F2762-F138-4A5C-976F-8EAC2B608ADB}">
              <a16:predDERef xmlns:a16="http://schemas.microsoft.com/office/drawing/2014/main" pred="{8D826EB8-C61B-6122-BFD7-CDADDBF3A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0</xdr:colOff>
      <xdr:row>56</xdr:row>
      <xdr:rowOff>0</xdr:rowOff>
    </xdr:from>
    <xdr:to>
      <xdr:col>38</xdr:col>
      <xdr:colOff>81072</xdr:colOff>
      <xdr:row>88</xdr:row>
      <xdr:rowOff>167093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C0789BF-5A58-4535-8799-2FA7B32838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33</xdr:row>
      <xdr:rowOff>0</xdr:rowOff>
    </xdr:from>
    <xdr:to>
      <xdr:col>7</xdr:col>
      <xdr:colOff>552450</xdr:colOff>
      <xdr:row>56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94901EA-AC27-42E2-AA37-53A3B9F378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33</xdr:row>
      <xdr:rowOff>0</xdr:rowOff>
    </xdr:from>
    <xdr:to>
      <xdr:col>16</xdr:col>
      <xdr:colOff>200025</xdr:colOff>
      <xdr:row>56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69244F8-2E3C-4D63-9489-F09DD5008F79}"/>
            </a:ext>
            <a:ext uri="{147F2762-F138-4A5C-976F-8EAC2B608ADB}">
              <a16:predDERef xmlns:a16="http://schemas.microsoft.com/office/drawing/2014/main" pred="{A94901EA-AC27-42E2-AA37-53A3B9F378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447675</xdr:colOff>
      <xdr:row>33</xdr:row>
      <xdr:rowOff>0</xdr:rowOff>
    </xdr:from>
    <xdr:to>
      <xdr:col>25</xdr:col>
      <xdr:colOff>323850</xdr:colOff>
      <xdr:row>56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2E6B560-AAA8-477A-9A13-F70DB90C4610}"/>
            </a:ext>
            <a:ext uri="{147F2762-F138-4A5C-976F-8EAC2B608ADB}">
              <a16:predDERef xmlns:a16="http://schemas.microsoft.com/office/drawing/2014/main" pred="{F69244F8-2E3C-4D63-9489-F09DD5008F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57</xdr:row>
      <xdr:rowOff>0</xdr:rowOff>
    </xdr:from>
    <xdr:to>
      <xdr:col>7</xdr:col>
      <xdr:colOff>552450</xdr:colOff>
      <xdr:row>80</xdr:row>
      <xdr:rowOff>9525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C86B69E-4560-4C15-BB1E-2A1E54A6A6DD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57</xdr:row>
      <xdr:rowOff>0</xdr:rowOff>
    </xdr:from>
    <xdr:to>
      <xdr:col>16</xdr:col>
      <xdr:colOff>200025</xdr:colOff>
      <xdr:row>80</xdr:row>
      <xdr:rowOff>9525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3D782E1-BDE9-4BFF-A2BD-F5D6ADE15B67}"/>
            </a:ext>
            <a:ext uri="{147F2762-F138-4A5C-976F-8EAC2B608ADB}">
              <a16:predDERef xmlns:a16="http://schemas.microsoft.com/office/drawing/2014/main" pred="{0C86B69E-4560-4C15-BB1E-2A1E54A6A6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438150</xdr:colOff>
      <xdr:row>57</xdr:row>
      <xdr:rowOff>0</xdr:rowOff>
    </xdr:from>
    <xdr:to>
      <xdr:col>25</xdr:col>
      <xdr:colOff>314325</xdr:colOff>
      <xdr:row>80</xdr:row>
      <xdr:rowOff>9525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8C0D515-CAA4-49AD-BE64-C0721408C985}"/>
            </a:ext>
            <a:ext uri="{147F2762-F138-4A5C-976F-8EAC2B608ADB}">
              <a16:predDERef xmlns:a16="http://schemas.microsoft.com/office/drawing/2014/main" pred="{63D782E1-BDE9-4BFF-A2BD-F5D6ADE15B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81</xdr:row>
      <xdr:rowOff>0</xdr:rowOff>
    </xdr:from>
    <xdr:to>
      <xdr:col>7</xdr:col>
      <xdr:colOff>552450</xdr:colOff>
      <xdr:row>104</xdr:row>
      <xdr:rowOff>9526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725388F-DC66-4344-AF33-8ED6D2B3FA5E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0</xdr:colOff>
      <xdr:row>81</xdr:row>
      <xdr:rowOff>0</xdr:rowOff>
    </xdr:from>
    <xdr:to>
      <xdr:col>16</xdr:col>
      <xdr:colOff>198031</xdr:colOff>
      <xdr:row>104</xdr:row>
      <xdr:rowOff>9526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A13209EC-747A-4674-9C1E-8AF64A545F7D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454100</xdr:colOff>
      <xdr:row>81</xdr:row>
      <xdr:rowOff>0</xdr:rowOff>
    </xdr:from>
    <xdr:to>
      <xdr:col>25</xdr:col>
      <xdr:colOff>330939</xdr:colOff>
      <xdr:row>104</xdr:row>
      <xdr:rowOff>9526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C9CF3876-5408-408C-A8EF-133C2B9E7EDA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105</xdr:row>
      <xdr:rowOff>0</xdr:rowOff>
    </xdr:from>
    <xdr:to>
      <xdr:col>7</xdr:col>
      <xdr:colOff>552450</xdr:colOff>
      <xdr:row>128</xdr:row>
      <xdr:rowOff>9526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44A772FE-1CBA-49A7-8966-695C5DA38809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0</xdr:colOff>
      <xdr:row>105</xdr:row>
      <xdr:rowOff>0</xdr:rowOff>
    </xdr:from>
    <xdr:to>
      <xdr:col>16</xdr:col>
      <xdr:colOff>198031</xdr:colOff>
      <xdr:row>128</xdr:row>
      <xdr:rowOff>9526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FFD32400-18E3-483B-A90E-FA984501827C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454100</xdr:colOff>
      <xdr:row>105</xdr:row>
      <xdr:rowOff>0</xdr:rowOff>
    </xdr:from>
    <xdr:to>
      <xdr:col>25</xdr:col>
      <xdr:colOff>330939</xdr:colOff>
      <xdr:row>128</xdr:row>
      <xdr:rowOff>9526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2B2C8824-65E1-40A3-B07A-9DB16D06C506}"/>
            </a:ext>
            <a:ext uri="{147F2762-F138-4A5C-976F-8EAC2B608ADB}">
              <a16:predDERef xmlns:a16="http://schemas.microsoft.com/office/drawing/2014/main" pred="{D2E6B560-AAA8-477A-9A13-F70DB90C4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33</xdr:row>
      <xdr:rowOff>0</xdr:rowOff>
    </xdr:from>
    <xdr:to>
      <xdr:col>6</xdr:col>
      <xdr:colOff>1019175</xdr:colOff>
      <xdr:row>53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2ED724-A8C2-4E31-86DA-74F936FB0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33</xdr:row>
      <xdr:rowOff>0</xdr:rowOff>
    </xdr:from>
    <xdr:to>
      <xdr:col>13</xdr:col>
      <xdr:colOff>895350</xdr:colOff>
      <xdr:row>53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BEBDEAF-8326-4D00-BA7D-8D8BE3AA6F73}"/>
            </a:ext>
            <a:ext uri="{147F2762-F138-4A5C-976F-8EAC2B608ADB}">
              <a16:predDERef xmlns:a16="http://schemas.microsoft.com/office/drawing/2014/main" pred="{752ED724-A8C2-4E31-86DA-74F936FB01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33</xdr:row>
      <xdr:rowOff>0</xdr:rowOff>
    </xdr:from>
    <xdr:to>
      <xdr:col>21</xdr:col>
      <xdr:colOff>76200</xdr:colOff>
      <xdr:row>53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85146B4-FBFE-4090-A382-0A5123B4BBA0}"/>
            </a:ext>
            <a:ext uri="{147F2762-F138-4A5C-976F-8EAC2B608ADB}">
              <a16:predDERef xmlns:a16="http://schemas.microsoft.com/office/drawing/2014/main" pred="{CBEBDEAF-8326-4D00-BA7D-8D8BE3AA6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55</xdr:row>
      <xdr:rowOff>0</xdr:rowOff>
    </xdr:from>
    <xdr:to>
      <xdr:col>6</xdr:col>
      <xdr:colOff>1038225</xdr:colOff>
      <xdr:row>75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3C26FCE-FC1D-4DCC-9400-B6E9A1ADB02E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55</xdr:row>
      <xdr:rowOff>0</xdr:rowOff>
    </xdr:from>
    <xdr:to>
      <xdr:col>13</xdr:col>
      <xdr:colOff>895350</xdr:colOff>
      <xdr:row>75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4DE1F94-0565-4AA4-9EDF-17CA35A03F3E}"/>
            </a:ext>
            <a:ext uri="{147F2762-F138-4A5C-976F-8EAC2B608ADB}">
              <a16:predDERef xmlns:a16="http://schemas.microsoft.com/office/drawing/2014/main" pred="{23C26FCE-FC1D-4DCC-9400-B6E9A1ADB0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0</xdr:colOff>
      <xdr:row>55</xdr:row>
      <xdr:rowOff>0</xdr:rowOff>
    </xdr:from>
    <xdr:to>
      <xdr:col>21</xdr:col>
      <xdr:colOff>76200</xdr:colOff>
      <xdr:row>75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0708668-9E36-4C7C-9420-4B8C50918DEA}"/>
            </a:ext>
            <a:ext uri="{147F2762-F138-4A5C-976F-8EAC2B608ADB}">
              <a16:predDERef xmlns:a16="http://schemas.microsoft.com/office/drawing/2014/main" pred="{54DE1F94-0565-4AA4-9EDF-17CA35A03F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76</xdr:row>
      <xdr:rowOff>0</xdr:rowOff>
    </xdr:from>
    <xdr:to>
      <xdr:col>6</xdr:col>
      <xdr:colOff>1038225</xdr:colOff>
      <xdr:row>96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9E2BABF-A8E3-4DC2-8A50-C2A204CF450E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0</xdr:colOff>
      <xdr:row>76</xdr:row>
      <xdr:rowOff>0</xdr:rowOff>
    </xdr:from>
    <xdr:to>
      <xdr:col>13</xdr:col>
      <xdr:colOff>907256</xdr:colOff>
      <xdr:row>96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0B2239A-6EB9-42DF-8659-1E1A35639F9A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0</xdr:colOff>
      <xdr:row>76</xdr:row>
      <xdr:rowOff>0</xdr:rowOff>
    </xdr:from>
    <xdr:to>
      <xdr:col>21</xdr:col>
      <xdr:colOff>85725</xdr:colOff>
      <xdr:row>96</xdr:row>
      <xdr:rowOff>95250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75B6D7E-0C63-4B46-B174-A42DC25BED2A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97</xdr:row>
      <xdr:rowOff>0</xdr:rowOff>
    </xdr:from>
    <xdr:to>
      <xdr:col>6</xdr:col>
      <xdr:colOff>1038225</xdr:colOff>
      <xdr:row>117</xdr:row>
      <xdr:rowOff>95250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FFF85757-14B0-47AD-973B-6F12EE061F18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97</xdr:row>
      <xdr:rowOff>0</xdr:rowOff>
    </xdr:from>
    <xdr:to>
      <xdr:col>13</xdr:col>
      <xdr:colOff>907256</xdr:colOff>
      <xdr:row>117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53616529-34C3-4BEA-86A5-12066464283F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14</xdr:col>
      <xdr:colOff>0</xdr:colOff>
      <xdr:row>97</xdr:row>
      <xdr:rowOff>0</xdr:rowOff>
    </xdr:from>
    <xdr:to>
      <xdr:col>21</xdr:col>
      <xdr:colOff>85725</xdr:colOff>
      <xdr:row>117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D1607089-70E3-47A6-917A-2E5252FAE78E}"/>
            </a:ext>
            <a:ext uri="{147F2762-F138-4A5C-976F-8EAC2B608ADB}">
              <a16:predDERef xmlns:a16="http://schemas.microsoft.com/office/drawing/2014/main" pred="{685146B4-FBFE-4090-A382-0A5123B4B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30</xdr:row>
      <xdr:rowOff>0</xdr:rowOff>
    </xdr:from>
    <xdr:to>
      <xdr:col>6</xdr:col>
      <xdr:colOff>771525</xdr:colOff>
      <xdr:row>50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0435D0-94C6-4A66-9ECF-EFCF76510B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30</xdr:row>
      <xdr:rowOff>0</xdr:rowOff>
    </xdr:from>
    <xdr:to>
      <xdr:col>13</xdr:col>
      <xdr:colOff>828675</xdr:colOff>
      <xdr:row>50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3AA219D-FE32-4DF7-89D2-92ECD53E0541}"/>
            </a:ext>
            <a:ext uri="{147F2762-F138-4A5C-976F-8EAC2B608ADB}">
              <a16:predDERef xmlns:a16="http://schemas.microsoft.com/office/drawing/2014/main" pred="{D50435D0-94C6-4A66-9ECF-EFCF76510B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0</xdr:colOff>
      <xdr:row>30</xdr:row>
      <xdr:rowOff>0</xdr:rowOff>
    </xdr:from>
    <xdr:to>
      <xdr:col>21</xdr:col>
      <xdr:colOff>428625</xdr:colOff>
      <xdr:row>50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C556E5-2E97-49BE-99E4-FD52456536AA}"/>
            </a:ext>
            <a:ext uri="{147F2762-F138-4A5C-976F-8EAC2B608ADB}">
              <a16:predDERef xmlns:a16="http://schemas.microsoft.com/office/drawing/2014/main" pred="{B3AA219D-FE32-4DF7-89D2-92ECD53E05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52</xdr:row>
      <xdr:rowOff>0</xdr:rowOff>
    </xdr:from>
    <xdr:to>
      <xdr:col>6</xdr:col>
      <xdr:colOff>771525</xdr:colOff>
      <xdr:row>72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2E2D249-4EA2-4B7A-B3AD-CB2D6F2EF282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52</xdr:row>
      <xdr:rowOff>0</xdr:rowOff>
    </xdr:from>
    <xdr:to>
      <xdr:col>13</xdr:col>
      <xdr:colOff>828675</xdr:colOff>
      <xdr:row>72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C78EFC7-D95B-459B-A690-A4AFF43360E7}"/>
            </a:ext>
            <a:ext uri="{147F2762-F138-4A5C-976F-8EAC2B608ADB}">
              <a16:predDERef xmlns:a16="http://schemas.microsoft.com/office/drawing/2014/main" pred="{B2E2D249-4EA2-4B7A-B3AD-CB2D6F2EF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0</xdr:colOff>
      <xdr:row>52</xdr:row>
      <xdr:rowOff>0</xdr:rowOff>
    </xdr:from>
    <xdr:to>
      <xdr:col>21</xdr:col>
      <xdr:colOff>428625</xdr:colOff>
      <xdr:row>72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25E09C0-DBDA-48B3-B471-0D57CA8464DC}"/>
            </a:ext>
            <a:ext uri="{147F2762-F138-4A5C-976F-8EAC2B608ADB}">
              <a16:predDERef xmlns:a16="http://schemas.microsoft.com/office/drawing/2014/main" pred="{4C78EFC7-D95B-459B-A690-A4AFF43360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6</xdr:col>
      <xdr:colOff>771525</xdr:colOff>
      <xdr:row>93</xdr:row>
      <xdr:rowOff>95251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F50B54-CF0D-402A-873B-C8DCE8DCF87D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0</xdr:colOff>
      <xdr:row>73</xdr:row>
      <xdr:rowOff>0</xdr:rowOff>
    </xdr:from>
    <xdr:to>
      <xdr:col>13</xdr:col>
      <xdr:colOff>826902</xdr:colOff>
      <xdr:row>93</xdr:row>
      <xdr:rowOff>95251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3930F49-145E-4B98-813A-E152B21AC0CA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</xdr:col>
      <xdr:colOff>0</xdr:colOff>
      <xdr:row>73</xdr:row>
      <xdr:rowOff>0</xdr:rowOff>
    </xdr:from>
    <xdr:to>
      <xdr:col>21</xdr:col>
      <xdr:colOff>428181</xdr:colOff>
      <xdr:row>93</xdr:row>
      <xdr:rowOff>95251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63DB3A4-BCA9-46B7-8730-7A2100233012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94</xdr:row>
      <xdr:rowOff>0</xdr:rowOff>
    </xdr:from>
    <xdr:to>
      <xdr:col>6</xdr:col>
      <xdr:colOff>771525</xdr:colOff>
      <xdr:row>114</xdr:row>
      <xdr:rowOff>95250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E043139-D437-470D-B2CC-4F84686EE784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94</xdr:row>
      <xdr:rowOff>0</xdr:rowOff>
    </xdr:from>
    <xdr:to>
      <xdr:col>13</xdr:col>
      <xdr:colOff>826902</xdr:colOff>
      <xdr:row>114</xdr:row>
      <xdr:rowOff>95250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682CDB97-5EAE-46FC-A2E2-FB992828D127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15</xdr:col>
      <xdr:colOff>0</xdr:colOff>
      <xdr:row>94</xdr:row>
      <xdr:rowOff>0</xdr:rowOff>
    </xdr:from>
    <xdr:to>
      <xdr:col>21</xdr:col>
      <xdr:colOff>428181</xdr:colOff>
      <xdr:row>114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DF7C8D94-6FC3-426E-86D2-5F9E8FD395DA}"/>
            </a:ext>
            <a:ext uri="{147F2762-F138-4A5C-976F-8EAC2B608ADB}">
              <a16:predDERef xmlns:a16="http://schemas.microsoft.com/office/drawing/2014/main" pred="{E4C556E5-2E97-49BE-99E4-FD5245653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52</xdr:row>
      <xdr:rowOff>0</xdr:rowOff>
    </xdr:from>
    <xdr:to>
      <xdr:col>10</xdr:col>
      <xdr:colOff>923925</xdr:colOff>
      <xdr:row>74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24C0582-9232-4EC1-8B28-41EC80EC4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52</xdr:row>
      <xdr:rowOff>0</xdr:rowOff>
    </xdr:from>
    <xdr:to>
      <xdr:col>21</xdr:col>
      <xdr:colOff>400050</xdr:colOff>
      <xdr:row>74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E8BB619-B0EC-4D3E-99CD-72BD64F01CD7}"/>
            </a:ext>
            <a:ext uri="{147F2762-F138-4A5C-976F-8EAC2B608ADB}">
              <a16:predDERef xmlns:a16="http://schemas.microsoft.com/office/drawing/2014/main" pred="{324C0582-9232-4EC1-8B28-41EC80EC4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0</xdr:colOff>
      <xdr:row>52</xdr:row>
      <xdr:rowOff>0</xdr:rowOff>
    </xdr:from>
    <xdr:to>
      <xdr:col>39</xdr:col>
      <xdr:colOff>209550</xdr:colOff>
      <xdr:row>74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E34C024-D6D7-4D77-81E8-906A0BE5DDEC}"/>
            </a:ext>
            <a:ext uri="{147F2762-F138-4A5C-976F-8EAC2B608ADB}">
              <a16:predDERef xmlns:a16="http://schemas.microsoft.com/office/drawing/2014/main" pred="{DE8BB619-B0EC-4D3E-99CD-72BD64F01C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75</xdr:row>
      <xdr:rowOff>0</xdr:rowOff>
    </xdr:from>
    <xdr:to>
      <xdr:col>10</xdr:col>
      <xdr:colOff>923925</xdr:colOff>
      <xdr:row>97</xdr:row>
      <xdr:rowOff>38100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8516FE6-166F-49B7-A9BA-32E69AD95D0D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75</xdr:row>
      <xdr:rowOff>0</xdr:rowOff>
    </xdr:from>
    <xdr:to>
      <xdr:col>21</xdr:col>
      <xdr:colOff>400050</xdr:colOff>
      <xdr:row>97</xdr:row>
      <xdr:rowOff>38100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02F92DE-405A-4B20-88D6-A872B8023494}"/>
            </a:ext>
            <a:ext uri="{147F2762-F138-4A5C-976F-8EAC2B608ADB}">
              <a16:predDERef xmlns:a16="http://schemas.microsoft.com/office/drawing/2014/main" pred="{B8516FE6-166F-49B7-A9BA-32E69AD95D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0</xdr:colOff>
      <xdr:row>75</xdr:row>
      <xdr:rowOff>0</xdr:rowOff>
    </xdr:from>
    <xdr:to>
      <xdr:col>39</xdr:col>
      <xdr:colOff>209550</xdr:colOff>
      <xdr:row>97</xdr:row>
      <xdr:rowOff>38100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626AE40-CD18-429A-8FE6-E38CAAA37471}"/>
            </a:ext>
            <a:ext uri="{147F2762-F138-4A5C-976F-8EAC2B608ADB}">
              <a16:predDERef xmlns:a16="http://schemas.microsoft.com/office/drawing/2014/main" pred="{302F92DE-405A-4B20-88D6-A872B80234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98</xdr:row>
      <xdr:rowOff>0</xdr:rowOff>
    </xdr:from>
    <xdr:to>
      <xdr:col>10</xdr:col>
      <xdr:colOff>923925</xdr:colOff>
      <xdr:row>120</xdr:row>
      <xdr:rowOff>38100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DA95C07-5BE6-4CE4-9DD5-D13717A98357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0</xdr:colOff>
      <xdr:row>98</xdr:row>
      <xdr:rowOff>0</xdr:rowOff>
    </xdr:from>
    <xdr:to>
      <xdr:col>21</xdr:col>
      <xdr:colOff>397248</xdr:colOff>
      <xdr:row>120</xdr:row>
      <xdr:rowOff>38100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6F7B901-5D6D-4E50-97A0-56D568587D81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22</xdr:col>
      <xdr:colOff>0</xdr:colOff>
      <xdr:row>98</xdr:row>
      <xdr:rowOff>0</xdr:rowOff>
    </xdr:from>
    <xdr:to>
      <xdr:col>39</xdr:col>
      <xdr:colOff>273983</xdr:colOff>
      <xdr:row>120</xdr:row>
      <xdr:rowOff>38100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D269949F-413B-4854-AA93-05D73E56F7D5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121</xdr:row>
      <xdr:rowOff>0</xdr:rowOff>
    </xdr:from>
    <xdr:to>
      <xdr:col>10</xdr:col>
      <xdr:colOff>923925</xdr:colOff>
      <xdr:row>143</xdr:row>
      <xdr:rowOff>38100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6C6D3E0C-9719-4109-9614-FC392DACF0F0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11</xdr:col>
      <xdr:colOff>0</xdr:colOff>
      <xdr:row>121</xdr:row>
      <xdr:rowOff>0</xdr:rowOff>
    </xdr:from>
    <xdr:to>
      <xdr:col>21</xdr:col>
      <xdr:colOff>397248</xdr:colOff>
      <xdr:row>143</xdr:row>
      <xdr:rowOff>38100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201E5D59-1309-4EE9-A609-34584C208BC9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22</xdr:col>
      <xdr:colOff>0</xdr:colOff>
      <xdr:row>121</xdr:row>
      <xdr:rowOff>0</xdr:rowOff>
    </xdr:from>
    <xdr:to>
      <xdr:col>39</xdr:col>
      <xdr:colOff>273983</xdr:colOff>
      <xdr:row>143</xdr:row>
      <xdr:rowOff>38100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FD5BBA56-20B8-4F9D-A3B9-7D7DFEFC16FC}"/>
            </a:ext>
            <a:ext uri="{147F2762-F138-4A5C-976F-8EAC2B608ADB}">
              <a16:predDERef xmlns:a16="http://schemas.microsoft.com/office/drawing/2014/main" pred="{9E34C024-D6D7-4D77-81E8-906A0BE5D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</xdr:row>
      <xdr:rowOff>38100</xdr:rowOff>
    </xdr:from>
    <xdr:to>
      <xdr:col>4</xdr:col>
      <xdr:colOff>981075</xdr:colOff>
      <xdr:row>31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D720FD4-A496-A6EB-A780-59AD635FB6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1343025</xdr:colOff>
      <xdr:row>17</xdr:row>
      <xdr:rowOff>57150</xdr:rowOff>
    </xdr:from>
    <xdr:to>
      <xdr:col>9</xdr:col>
      <xdr:colOff>990600</xdr:colOff>
      <xdr:row>31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F6345F8-3EF5-478E-92C6-82F427573216}"/>
            </a:ext>
            <a:ext uri="{147F2762-F138-4A5C-976F-8EAC2B608ADB}">
              <a16:predDERef xmlns:a16="http://schemas.microsoft.com/office/drawing/2014/main" pred="{BD720FD4-A496-A6EB-A780-59AD635FB6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304800</xdr:colOff>
      <xdr:row>17</xdr:row>
      <xdr:rowOff>57150</xdr:rowOff>
    </xdr:from>
    <xdr:to>
      <xdr:col>14</xdr:col>
      <xdr:colOff>504825</xdr:colOff>
      <xdr:row>31</xdr:row>
      <xdr:rowOff>133350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1D614FD-8C2A-404A-8033-6A5D3272E8C8}"/>
            </a:ext>
            <a:ext uri="{147F2762-F138-4A5C-976F-8EAC2B608ADB}">
              <a16:predDERef xmlns:a16="http://schemas.microsoft.com/office/drawing/2014/main" pred="{AF6345F8-3EF5-478E-92C6-82F4275732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34</xdr:row>
      <xdr:rowOff>0</xdr:rowOff>
    </xdr:from>
    <xdr:to>
      <xdr:col>4</xdr:col>
      <xdr:colOff>981075</xdr:colOff>
      <xdr:row>48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73CE89-D14D-4957-8BB0-84F451D2FF0C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9</xdr:col>
      <xdr:colOff>1000125</xdr:colOff>
      <xdr:row>48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9AD6195-9B55-440D-B2EE-A3EBA71942FF}"/>
            </a:ext>
            <a:ext uri="{147F2762-F138-4A5C-976F-8EAC2B608ADB}">
              <a16:predDERef xmlns:a16="http://schemas.microsoft.com/office/drawing/2014/main" pred="{0073CE89-D14D-4957-8BB0-84F451D2FF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295275</xdr:colOff>
      <xdr:row>34</xdr:row>
      <xdr:rowOff>0</xdr:rowOff>
    </xdr:from>
    <xdr:to>
      <xdr:col>14</xdr:col>
      <xdr:colOff>495300</xdr:colOff>
      <xdr:row>48</xdr:row>
      <xdr:rowOff>76200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68FFBCE-A272-4024-96C6-077F47C98DFE}"/>
            </a:ext>
            <a:ext uri="{147F2762-F138-4A5C-976F-8EAC2B608ADB}">
              <a16:predDERef xmlns:a16="http://schemas.microsoft.com/office/drawing/2014/main" pred="{09AD6195-9B55-440D-B2EE-A3EBA7194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4</xdr:col>
      <xdr:colOff>981075</xdr:colOff>
      <xdr:row>63</xdr:row>
      <xdr:rowOff>76199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C0CBCFE-FD57-4BC7-B6D5-722A83DBEAD0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0</xdr:colOff>
      <xdr:row>49</xdr:row>
      <xdr:rowOff>0</xdr:rowOff>
    </xdr:from>
    <xdr:to>
      <xdr:col>9</xdr:col>
      <xdr:colOff>1003226</xdr:colOff>
      <xdr:row>63</xdr:row>
      <xdr:rowOff>76199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9DB97AA-4ABF-45F6-B0D3-A090F5F4F0F3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299041</xdr:colOff>
      <xdr:row>49</xdr:row>
      <xdr:rowOff>11076</xdr:rowOff>
    </xdr:from>
    <xdr:to>
      <xdr:col>14</xdr:col>
      <xdr:colOff>504825</xdr:colOff>
      <xdr:row>63</xdr:row>
      <xdr:rowOff>87275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2EA1ACE-29EC-4719-BC44-0961951F3CC8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64</xdr:row>
      <xdr:rowOff>0</xdr:rowOff>
    </xdr:from>
    <xdr:to>
      <xdr:col>4</xdr:col>
      <xdr:colOff>981075</xdr:colOff>
      <xdr:row>78</xdr:row>
      <xdr:rowOff>76199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68659F79-DBC7-4413-8F63-8C44D102CDFE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0</xdr:colOff>
      <xdr:row>64</xdr:row>
      <xdr:rowOff>0</xdr:rowOff>
    </xdr:from>
    <xdr:to>
      <xdr:col>9</xdr:col>
      <xdr:colOff>1003226</xdr:colOff>
      <xdr:row>78</xdr:row>
      <xdr:rowOff>76199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3AD1A415-993A-4E1F-9C4C-BF9D4C481BF0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10</xdr:col>
      <xdr:colOff>287966</xdr:colOff>
      <xdr:row>64</xdr:row>
      <xdr:rowOff>0</xdr:rowOff>
    </xdr:from>
    <xdr:to>
      <xdr:col>14</xdr:col>
      <xdr:colOff>493750</xdr:colOff>
      <xdr:row>78</xdr:row>
      <xdr:rowOff>76199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82FC22B9-F82E-4294-A4F5-85DC0DC96288}"/>
            </a:ext>
            <a:ext uri="{147F2762-F138-4A5C-976F-8EAC2B608ADB}">
              <a16:predDERef xmlns:a16="http://schemas.microsoft.com/office/drawing/2014/main" pred="{61D614FD-8C2A-404A-8033-6A5D3272E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24</xdr:row>
      <xdr:rowOff>19050</xdr:rowOff>
    </xdr:from>
    <xdr:to>
      <xdr:col>5</xdr:col>
      <xdr:colOff>609600</xdr:colOff>
      <xdr:row>44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A9683E6-3CFB-4CE7-940B-0D92AF1B81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24</xdr:row>
      <xdr:rowOff>0</xdr:rowOff>
    </xdr:from>
    <xdr:to>
      <xdr:col>11</xdr:col>
      <xdr:colOff>733425</xdr:colOff>
      <xdr:row>44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33C9419-204D-4147-AB59-213AD2CC6939}"/>
            </a:ext>
            <a:ext uri="{147F2762-F138-4A5C-976F-8EAC2B608ADB}">
              <a16:predDERef xmlns:a16="http://schemas.microsoft.com/office/drawing/2014/main" pred="{4A9683E6-3CFB-4CE7-940B-0D92AF1B81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24</xdr:row>
      <xdr:rowOff>0</xdr:rowOff>
    </xdr:from>
    <xdr:to>
      <xdr:col>17</xdr:col>
      <xdr:colOff>1104900</xdr:colOff>
      <xdr:row>44</xdr:row>
      <xdr:rowOff>142875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AB73397-8455-4A7B-884F-1735FA4C872A}"/>
            </a:ext>
            <a:ext uri="{147F2762-F138-4A5C-976F-8EAC2B608ADB}">
              <a16:predDERef xmlns:a16="http://schemas.microsoft.com/office/drawing/2014/main" pred="{933C9419-204D-4147-AB59-213AD2CC69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5</xdr:col>
      <xdr:colOff>676275</xdr:colOff>
      <xdr:row>67</xdr:row>
      <xdr:rowOff>142875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2BF7A1F-4E83-4B5D-B979-DC6B2CDA3E7D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0</xdr:colOff>
      <xdr:row>47</xdr:row>
      <xdr:rowOff>0</xdr:rowOff>
    </xdr:from>
    <xdr:to>
      <xdr:col>11</xdr:col>
      <xdr:colOff>733425</xdr:colOff>
      <xdr:row>67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A2B87FF-A142-460F-AB64-F32A32F307E7}"/>
            </a:ext>
            <a:ext uri="{147F2762-F138-4A5C-976F-8EAC2B608ADB}">
              <a16:predDERef xmlns:a16="http://schemas.microsoft.com/office/drawing/2014/main" pred="{F2BF7A1F-4E83-4B5D-B979-DC6B2CDA3E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47</xdr:row>
      <xdr:rowOff>0</xdr:rowOff>
    </xdr:from>
    <xdr:to>
      <xdr:col>17</xdr:col>
      <xdr:colOff>1104900</xdr:colOff>
      <xdr:row>67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830525B-D0D7-4955-8376-93FA6F48F82B}"/>
            </a:ext>
            <a:ext uri="{147F2762-F138-4A5C-976F-8EAC2B608ADB}">
              <a16:predDERef xmlns:a16="http://schemas.microsoft.com/office/drawing/2014/main" pred="{DA2B87FF-A142-460F-AB64-F32A32F307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5</xdr:col>
      <xdr:colOff>676275</xdr:colOff>
      <xdr:row>89</xdr:row>
      <xdr:rowOff>142874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8EFC47A-7350-41F2-96A5-173B9EC6071D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69</xdr:row>
      <xdr:rowOff>0</xdr:rowOff>
    </xdr:from>
    <xdr:to>
      <xdr:col>11</xdr:col>
      <xdr:colOff>731652</xdr:colOff>
      <xdr:row>89</xdr:row>
      <xdr:rowOff>142874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9FE8050-7ECB-42F7-BC0F-F82BD9EE0211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0</xdr:colOff>
      <xdr:row>69</xdr:row>
      <xdr:rowOff>0</xdr:rowOff>
    </xdr:from>
    <xdr:to>
      <xdr:col>17</xdr:col>
      <xdr:colOff>1108222</xdr:colOff>
      <xdr:row>89</xdr:row>
      <xdr:rowOff>142874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3FB37A0-06B8-408D-971A-66C895E40C66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91</xdr:row>
      <xdr:rowOff>0</xdr:rowOff>
    </xdr:from>
    <xdr:to>
      <xdr:col>5</xdr:col>
      <xdr:colOff>676275</xdr:colOff>
      <xdr:row>111</xdr:row>
      <xdr:rowOff>142874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75E3D353-8E19-4B5A-9BA7-FDC913B84396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0</xdr:colOff>
      <xdr:row>91</xdr:row>
      <xdr:rowOff>0</xdr:rowOff>
    </xdr:from>
    <xdr:to>
      <xdr:col>11</xdr:col>
      <xdr:colOff>731652</xdr:colOff>
      <xdr:row>111</xdr:row>
      <xdr:rowOff>142874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D523D5A9-CD36-4E69-B72A-16A30AEEA2E1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91</xdr:row>
      <xdr:rowOff>0</xdr:rowOff>
    </xdr:from>
    <xdr:to>
      <xdr:col>17</xdr:col>
      <xdr:colOff>1108222</xdr:colOff>
      <xdr:row>111</xdr:row>
      <xdr:rowOff>142874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9643B8EB-7380-4AC0-9E94-1D890EFD5090}"/>
            </a:ext>
            <a:ext uri="{147F2762-F138-4A5C-976F-8EAC2B608ADB}">
              <a16:predDERef xmlns:a16="http://schemas.microsoft.com/office/drawing/2014/main" pred="{EAB73397-8455-4A7B-884F-1735FA4C8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oseph Lynch" id="{7D78B2C2-0FE6-4942-B6F3-4BF80D68E1F9}" userId="S::jlynch@tlcnj.com::eaceab13-3f1e-4dca-8f13-2622c6797e3c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P18" dT="2025-02-04T20:37:25.93" personId="{7D78B2C2-0FE6-4942-B6F3-4BF80D68E1F9}" id="{206EC38A-1469-44AA-BB21-6A1A938CA2DA}">
    <text>See color coded sheet DEPT 68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2DC63-E6D8-4785-8379-26ABCBDBAB98}">
  <sheetPr>
    <pageSetUpPr fitToPage="1"/>
  </sheetPr>
  <dimension ref="A1:AQ66"/>
  <sheetViews>
    <sheetView tabSelected="1" zoomScale="86" zoomScaleNormal="86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22" sqref="B22"/>
    </sheetView>
  </sheetViews>
  <sheetFormatPr defaultColWidth="13.85546875" defaultRowHeight="15" x14ac:dyDescent="0.25"/>
  <cols>
    <col min="1" max="1" width="21.7109375" style="4" bestFit="1" customWidth="1"/>
    <col min="2" max="2" width="9.140625" style="4" bestFit="1" customWidth="1"/>
    <col min="3" max="5" width="12.5703125" style="4" bestFit="1" customWidth="1"/>
    <col min="6" max="6" width="11.7109375" style="4" bestFit="1" customWidth="1"/>
    <col min="7" max="7" width="13.5703125" style="4" bestFit="1" customWidth="1"/>
    <col min="8" max="8" width="13.28515625" style="4" bestFit="1" customWidth="1"/>
    <col min="9" max="9" width="15.42578125" style="4" customWidth="1"/>
    <col min="10" max="10" width="12.5703125" style="4" bestFit="1" customWidth="1"/>
    <col min="11" max="11" width="9.7109375" style="4" bestFit="1" customWidth="1"/>
    <col min="12" max="12" width="9.5703125" style="4" customWidth="1"/>
    <col min="13" max="13" width="9.7109375" style="4" bestFit="1" customWidth="1"/>
    <col min="14" max="14" width="10.7109375" style="4" bestFit="1" customWidth="1"/>
    <col min="15" max="17" width="12.5703125" style="4" bestFit="1" customWidth="1"/>
    <col min="18" max="18" width="11.7109375" style="4" bestFit="1" customWidth="1"/>
    <col min="19" max="19" width="13.5703125" style="4" bestFit="1" customWidth="1"/>
    <col min="20" max="20" width="13.28515625" style="4" bestFit="1" customWidth="1"/>
    <col min="21" max="21" width="13.42578125" style="4" bestFit="1" customWidth="1"/>
    <col min="22" max="22" width="12.5703125" style="4" bestFit="1" customWidth="1"/>
    <col min="23" max="23" width="9.7109375" style="4" bestFit="1" customWidth="1"/>
    <col min="24" max="26" width="9.7109375" style="4" customWidth="1"/>
    <col min="27" max="27" width="13.5703125" style="4" bestFit="1" customWidth="1"/>
    <col min="28" max="28" width="13.5703125" style="4" customWidth="1"/>
    <col min="29" max="30" width="12.5703125" style="4" bestFit="1" customWidth="1"/>
    <col min="31" max="31" width="11.7109375" style="4" bestFit="1" customWidth="1"/>
    <col min="32" max="32" width="13.5703125" style="4" bestFit="1" customWidth="1"/>
    <col min="33" max="33" width="13.28515625" style="4" bestFit="1" customWidth="1"/>
    <col min="34" max="34" width="13.42578125" style="4" bestFit="1" customWidth="1"/>
    <col min="35" max="35" width="12.5703125" bestFit="1" customWidth="1"/>
    <col min="36" max="36" width="9.7109375" bestFit="1" customWidth="1"/>
    <col min="40" max="41" width="17.140625" customWidth="1"/>
    <col min="42" max="42" width="21" customWidth="1"/>
    <col min="43" max="43" width="13.28515625" customWidth="1"/>
  </cols>
  <sheetData>
    <row r="1" spans="1:42" ht="17.25" thickBot="1" x14ac:dyDescent="0.3">
      <c r="A1" s="161" t="s">
        <v>156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</row>
    <row r="2" spans="1:42" ht="29.25" thickBot="1" x14ac:dyDescent="0.3">
      <c r="A2" s="7" t="s">
        <v>0</v>
      </c>
      <c r="B2" s="8" t="s">
        <v>1</v>
      </c>
      <c r="C2" s="8" t="s">
        <v>112</v>
      </c>
      <c r="D2" s="8" t="s">
        <v>113</v>
      </c>
      <c r="E2" s="8" t="s">
        <v>114</v>
      </c>
      <c r="F2" s="8" t="s">
        <v>115</v>
      </c>
      <c r="G2" s="8" t="s">
        <v>116</v>
      </c>
      <c r="H2" s="8" t="s">
        <v>117</v>
      </c>
      <c r="I2" s="122" t="s">
        <v>118</v>
      </c>
      <c r="J2" s="58" t="s">
        <v>119</v>
      </c>
      <c r="K2" s="122" t="s">
        <v>120</v>
      </c>
      <c r="L2" s="58" t="s">
        <v>121</v>
      </c>
      <c r="M2" s="58" t="s">
        <v>122</v>
      </c>
      <c r="N2" s="58" t="s">
        <v>123</v>
      </c>
      <c r="O2" s="58" t="s">
        <v>2</v>
      </c>
      <c r="P2" s="8" t="s">
        <v>3</v>
      </c>
      <c r="Q2" s="8" t="s">
        <v>4</v>
      </c>
      <c r="R2" s="8" t="s">
        <v>5</v>
      </c>
      <c r="S2" s="8" t="s">
        <v>6</v>
      </c>
      <c r="T2" s="8" t="s">
        <v>7</v>
      </c>
      <c r="U2" s="58" t="s">
        <v>8</v>
      </c>
      <c r="V2" s="58" t="s">
        <v>9</v>
      </c>
      <c r="W2" s="58" t="s">
        <v>10</v>
      </c>
      <c r="X2" s="58" t="s">
        <v>103</v>
      </c>
      <c r="Y2" s="58" t="s">
        <v>104</v>
      </c>
      <c r="Z2" s="58" t="s">
        <v>105</v>
      </c>
      <c r="AA2" s="58" t="s">
        <v>20</v>
      </c>
      <c r="AB2" s="58" t="s">
        <v>11</v>
      </c>
      <c r="AC2" s="8" t="s">
        <v>12</v>
      </c>
      <c r="AD2" s="8" t="s">
        <v>13</v>
      </c>
      <c r="AE2" s="8" t="s">
        <v>14</v>
      </c>
      <c r="AF2" s="8" t="s">
        <v>15</v>
      </c>
      <c r="AG2" s="8" t="s">
        <v>16</v>
      </c>
      <c r="AH2" s="58" t="s">
        <v>17</v>
      </c>
      <c r="AI2" s="58" t="s">
        <v>18</v>
      </c>
      <c r="AJ2" s="58" t="s">
        <v>19</v>
      </c>
      <c r="AK2" s="58" t="s">
        <v>106</v>
      </c>
      <c r="AL2" s="58" t="s">
        <v>107</v>
      </c>
      <c r="AM2" s="127" t="s">
        <v>108</v>
      </c>
      <c r="AN2" s="142" t="s">
        <v>125</v>
      </c>
      <c r="AO2" s="138" t="s">
        <v>126</v>
      </c>
      <c r="AP2" s="138" t="s">
        <v>124</v>
      </c>
    </row>
    <row r="3" spans="1:42" s="9" customFormat="1" ht="16.5" x14ac:dyDescent="0.3">
      <c r="A3" s="93" t="s">
        <v>21</v>
      </c>
      <c r="B3" s="95">
        <f>'BM -ALL- Stock'!C32</f>
        <v>3.5023832915608617</v>
      </c>
      <c r="C3" s="94">
        <f>'BM -ALL- Stock'!D32</f>
        <v>468844.47000000003</v>
      </c>
      <c r="D3" s="94">
        <f>SUM('BM -ALL- Stock'!D2,'BM -ALL- Stock'!D5,'BM -ALL- Stock'!D8,'BM -ALL- Stock'!D11,'BM -ALL- Stock'!D14,'BM -ALL- Stock'!D17,'BM -ALL- Stock'!D20,'BM -ALL- Stock'!D23,'BM -ALL- Stock'!D26,'BM -ALL- Stock'!D29)</f>
        <v>137644.71</v>
      </c>
      <c r="E3" s="94">
        <f>SUM('BM -ALL- Stock'!D3,'BM -ALL- Stock'!D6,'BM -ALL- Stock'!D9,'BM -ALL- Stock'!D12,'BM -ALL- Stock'!D15,'BM -ALL- Stock'!D18,'BM -ALL- Stock'!D21,'BM -ALL- Stock'!D24,'BM -ALL- Stock'!D27,'BM -ALL- Stock'!D30)</f>
        <v>331199.76</v>
      </c>
      <c r="F3" s="94">
        <f>SUM('BM -ALL- Stock'!D4,'BM -ALL- Stock'!D7,'BM -ALL- Stock'!D10,'BM -ALL- Stock'!D13,'BM -ALL- Stock'!D16,'BM -ALL- Stock'!D19,'BM -ALL- Stock'!D22,'BM -ALL- Stock'!D25,'BM -ALL- Stock'!D28,'BM -ALL- Stock'!D31)</f>
        <v>0</v>
      </c>
      <c r="G3" s="94">
        <f>'BM -ALL- Stock'!E32</f>
        <v>1719625.5000000002</v>
      </c>
      <c r="H3" s="94">
        <f>'BM -ALL- Stock'!F32</f>
        <v>1606372.9100000001</v>
      </c>
      <c r="I3" s="94">
        <f>'BM -ALL- Stock'!G32</f>
        <v>2255485.9900000002</v>
      </c>
      <c r="J3" s="94">
        <f>'BM -ALL- Stock'!H32</f>
        <v>649113.08000000019</v>
      </c>
      <c r="K3" s="102">
        <f>'BM -ALL- Stock'!I32</f>
        <v>0.28799999999999998</v>
      </c>
      <c r="L3" s="102">
        <f>ROUND((1 - SUM('BM -ALL- Stock'!F2,'BM -ALL- Stock'!F5,'BM -ALL- Stock'!F8,'BM -ALL- Stock'!F11,'BM -ALL- Stock'!F14,'BM -ALL- Stock'!F17,'BM -ALL- Stock'!F20,'BM -ALL- Stock'!F23,'BM -ALL- Stock'!F26,'BM -ALL- Stock'!F29 )/SUM('BM -ALL- Stock'!G2,'BM -ALL- Stock'!G5,'BM -ALL- Stock'!G8,'BM -ALL- Stock'!G11,'BM -ALL- Stock'!G14,'BM -ALL- Stock'!G17,'BM -ALL- Stock'!G20,'BM -ALL- Stock'!G23,'BM -ALL- Stock'!G26,'BM -ALL- Stock'!G29 )), 3)</f>
        <v>0.32900000000000001</v>
      </c>
      <c r="M3" s="102">
        <f>ROUND((1 - SUM('BM -ALL- Stock'!F3,'BM -ALL- Stock'!F6,'BM -ALL- Stock'!F9,'BM -ALL- Stock'!F12,'BM -ALL- Stock'!F15,'BM -ALL- Stock'!F18,'BM -ALL- Stock'!F21,'BM -ALL- Stock'!F24,'BM -ALL- Stock'!F27,'BM -ALL- Stock'!F30) / SUM('BM -ALL- Stock'!G3,'BM -ALL- Stock'!G6,'BM -ALL- Stock'!G9,'BM -ALL- Stock'!G12,'BM -ALL- Stock'!G15,'BM -ALL- Stock'!G18,'BM -ALL- Stock'!G21,'BM -ALL- Stock'!G24,'BM -ALL- Stock'!G27,'BM -ALL- Stock'!G30)), 3)</f>
        <v>0.26</v>
      </c>
      <c r="N3" s="102" t="e">
        <f>ROUND((1 - SUM('BM -ALL- Stock'!F4,'BM -ALL- Stock'!F7,'BM -ALL- Stock'!F10,'BM -ALL- Stock'!F13,'BM -ALL- Stock'!F16,'BM -ALL- Stock'!F19,'BM -ALL- Stock'!F22,'BM -ALL- Stock'!F25,'BM -ALL- Stock'!F28,'BM -ALL- Stock'!F31) / SUM('BM -ALL- Stock'!G4,'BM -ALL- Stock'!G7,'BM -ALL- Stock'!G10,'BM -ALL- Stock'!G13,'BM -ALL- Stock'!G16,'BM -ALL- Stock'!G19,'BM -ALL- Stock'!G22,'BM -ALL- Stock'!G25,'BM -ALL- Stock'!G28,'BM -ALL- Stock'!G31)), 3)</f>
        <v>#DIV/0!</v>
      </c>
      <c r="O3" s="113">
        <f>'BM -ALL- Stock'!J32</f>
        <v>455713.12000000005</v>
      </c>
      <c r="P3" s="94">
        <f>SUM('BM -ALL- Stock'!J2,'BM -ALL- Stock'!J5,'BM -ALL- Stock'!J8,'BM -ALL- Stock'!J11,'BM -ALL- Stock'!J14,'BM -ALL- Stock'!J17,'BM -ALL- Stock'!J20,'BM -ALL- Stock'!J23,'BM -ALL- Stock'!J26,'BM -ALL- Stock'!J29)</f>
        <v>90670.36</v>
      </c>
      <c r="Q3" s="94">
        <f>SUM('BM -ALL- Stock'!J3,'BM -ALL- Stock'!J6,'BM -ALL- Stock'!J9,'BM -ALL- Stock'!J12,'BM -ALL- Stock'!J15,'BM -ALL- Stock'!J18,'BM -ALL- Stock'!J21,'BM -ALL- Stock'!J24,'BM -ALL- Stock'!J27,'BM -ALL- Stock'!J30)</f>
        <v>364120.27</v>
      </c>
      <c r="R3" s="94">
        <f>SUM('BM -ALL- Stock'!J4,'BM -ALL- Stock'!J7,'BM -ALL- Stock'!J10,'BM -ALL- Stock'!J13,'BM -ALL- Stock'!J16,'BM -ALL- Stock'!J19,'BM -ALL- Stock'!J22,'BM -ALL- Stock'!J25,'BM -ALL- Stock'!J28,'BM -ALL- Stock'!J31)</f>
        <v>922.49</v>
      </c>
      <c r="S3" s="94">
        <f>'BM -ALL- Stock'!K32</f>
        <v>1758320.6</v>
      </c>
      <c r="T3" s="94">
        <f>'BM -ALL- Stock'!L32</f>
        <v>1760134.6500000004</v>
      </c>
      <c r="U3" s="94">
        <f>'BM -ALL- Stock'!M32</f>
        <v>2495028.09</v>
      </c>
      <c r="V3" s="94">
        <f>'BM -ALL- Stock'!N32</f>
        <v>734893.44000000006</v>
      </c>
      <c r="W3" s="102">
        <f>'BM -ALL- Stock'!O32</f>
        <v>0.29499999999999998</v>
      </c>
      <c r="X3" s="102">
        <f>ROUND((1 - SUM('BM -ALL- Stock'!L2,'BM -ALL- Stock'!L5,'BM -ALL- Stock'!L8,'BM -ALL- Stock'!L11,'BM -ALL- Stock'!L14,'BM -ALL- Stock'!L17,'BM -ALL- Stock'!L20,'BM -ALL- Stock'!L23,'BM -ALL- Stock'!L26,'BM -ALL- Stock'!L29) / SUM('BM -ALL- Stock'!M2,'BM -ALL- Stock'!M5,'BM -ALL- Stock'!M8,'BM -ALL- Stock'!M11,'BM -ALL- Stock'!M14,'BM -ALL- Stock'!M17,'BM -ALL- Stock'!M20,'BM -ALL- Stock'!M23,'BM -ALL- Stock'!M26,'BM -ALL- Stock'!M29)), 3)</f>
        <v>0.33800000000000002</v>
      </c>
      <c r="Y3" s="102">
        <f>ROUND((1 - SUM('BM -ALL- Stock'!L3,'BM -ALL- Stock'!L6,'BM -ALL- Stock'!L9,'BM -ALL- Stock'!L12,'BM -ALL- Stock'!L15,'BM -ALL- Stock'!L18,'BM -ALL- Stock'!L21,'BM -ALL- Stock'!L24,'BM -ALL- Stock'!L27,'BM -ALL- Stock'!L30) / SUM('BM -ALL- Stock'!M3,'BM -ALL- Stock'!M6,'BM -ALL- Stock'!M9,'BM -ALL- Stock'!M12,'BM -ALL- Stock'!M15,'BM -ALL- Stock'!M18,'BM -ALL- Stock'!M21,'BM -ALL- Stock'!M24,'BM -ALL- Stock'!M27,'BM -ALL- Stock'!M30)), 3)</f>
        <v>0.26600000000000001</v>
      </c>
      <c r="Z3" s="102">
        <f>ROUND((1 - SUM('BM -ALL- Stock'!L4,'BM -ALL- Stock'!L7,'BM -ALL- Stock'!L10,'BM -ALL- Stock'!L13,'BM -ALL- Stock'!L16,'BM -ALL- Stock'!L19,'BM -ALL- Stock'!L22,'BM -ALL- Stock'!L25,'BM -ALL- Stock'!L28,'BM -ALL- Stock'!L31) / SUM('BM -ALL- Stock'!M4,'BM -ALL- Stock'!M7,'BM -ALL- Stock'!M10,'BM -ALL- Stock'!M13,'BM -ALL- Stock'!M16,'BM -ALL- Stock'!M19,'BM -ALL- Stock'!M22,'BM -ALL- Stock'!M25,'BM -ALL- Stock'!M28,'BM -ALL- Stock'!M31)), 3)</f>
        <v>0.31900000000000001</v>
      </c>
      <c r="AA3" s="94">
        <f>'BM -ALL- Stock'!P32</f>
        <v>2255498</v>
      </c>
      <c r="AB3" s="94">
        <f>'BM -ALL- Stock'!Q32</f>
        <v>350887.11999999994</v>
      </c>
      <c r="AC3" s="94">
        <f>SUM('BM -ALL- Stock'!Q2,'BM -ALL- Stock'!Q5,'BM -ALL- Stock'!Q8,'BM -ALL- Stock'!Q11,'BM -ALL- Stock'!Q14,'BM -ALL- Stock'!Q17,'BM -ALL- Stock'!Q20,'BM -ALL- Stock'!Q23,'BM -ALL- Stock'!Q26,'BM -ALL- Stock'!Q29)</f>
        <v>75574.92</v>
      </c>
      <c r="AD3" s="94">
        <f>SUM('BM -ALL- Stock'!Q3,'BM -ALL- Stock'!Q6,'BM -ALL- Stock'!Q9,'BM -ALL- Stock'!Q12,'BM -ALL- Stock'!Q15,'BM -ALL- Stock'!Q18,'BM -ALL- Stock'!Q21,'BM -ALL- Stock'!Q24,'BM -ALL- Stock'!Q27,'BM -ALL- Stock'!Q30)</f>
        <v>275312.2</v>
      </c>
      <c r="AE3" s="94">
        <f>SUM('BM -ALL- Stock'!Q4,'BM -ALL- Stock'!Q7,'BM -ALL- Stock'!Q10,'BM -ALL- Stock'!Q13,'BM -ALL- Stock'!Q16,'BM -ALL- Stock'!Q19,'BM -ALL- Stock'!Q22,'BM -ALL- Stock'!Q25,'BM -ALL- Stock'!Q28,'BM -ALL- Stock'!Q31)</f>
        <v>0</v>
      </c>
      <c r="AF3" s="94">
        <f>'BM -ALL- Stock'!R32</f>
        <v>1724993.24</v>
      </c>
      <c r="AG3" s="94">
        <f>'BM -ALL- Stock'!S32</f>
        <v>1757919.63</v>
      </c>
      <c r="AH3" s="94">
        <f>'BM -ALL- Stock'!T32</f>
        <v>2490453.0300000003</v>
      </c>
      <c r="AI3" s="94">
        <f>'BM -ALL- Stock'!U32</f>
        <v>732533.4</v>
      </c>
      <c r="AJ3" s="124">
        <f>'BM -ALL- Stock'!V32</f>
        <v>0.29399999999999998</v>
      </c>
      <c r="AK3" s="102">
        <f>ROUND((1 - SUM('BM -ALL- Stock'!S2,'BM -ALL- Stock'!S5,'BM -ALL- Stock'!S8,'BM -ALL- Stock'!S11,'BM -ALL- Stock'!S14,'BM -ALL- Stock'!S17,'BM -ALL- Stock'!S20,'BM -ALL- Stock'!S23,'BM -ALL- Stock'!S26,'BM -ALL- Stock'!S29) / SUM('BM -ALL- Stock'!T2,'BM -ALL- Stock'!T5,'BM -ALL- Stock'!T8,'BM -ALL- Stock'!T11,'BM -ALL- Stock'!T14,'BM -ALL- Stock'!T17,'BM -ALL- Stock'!T20,'BM -ALL- Stock'!T23,'BM -ALL- Stock'!T26,'BM -ALL- Stock'!T29)), 3)</f>
        <v>0.33900000000000002</v>
      </c>
      <c r="AL3" s="102">
        <f>ROUND((1 - SUM('BM -ALL- Stock'!S3,'BM -ALL- Stock'!S6,'BM -ALL- Stock'!S9,'BM -ALL- Stock'!S12,'BM -ALL- Stock'!S15,'BM -ALL- Stock'!S18,'BM -ALL- Stock'!S21,'BM -ALL- Stock'!S24,'BM -ALL- Stock'!S27,'BM -ALL- Stock'!S30) / SUM('BM -ALL- Stock'!T3,'BM -ALL- Stock'!T6,'BM -ALL- Stock'!T9,'BM -ALL- Stock'!T12,'BM -ALL- Stock'!T15,'BM -ALL- Stock'!T18,'BM -ALL- Stock'!T21,'BM -ALL- Stock'!T24,'BM -ALL- Stock'!T27,'BM -ALL- Stock'!T30)), 3)</f>
        <v>0.27</v>
      </c>
      <c r="AM3" s="111" t="e">
        <f>ROUND((1 - SUM('BM -ALL- Stock'!S4,'BM -ALL- Stock'!S7,'BM -ALL- Stock'!S10,'BM -ALL- Stock'!S13,'BM -ALL- Stock'!S16,'BM -ALL- Stock'!S19,'BM -ALL- Stock'!S22,'BM -ALL- Stock'!S25,'BM -ALL- Stock'!S28,'BM -ALL- Stock'!S31) / SUM('BM -ALL- Stock'!T4,'BM -ALL- Stock'!T7,'BM -ALL- Stock'!T10,'BM -ALL- Stock'!T13,'BM -ALL- Stock'!T16,'BM -ALL- Stock'!T19,'BM -ALL- Stock'!T22,'BM -ALL- Stock'!T25,'BM -ALL- Stock'!T28,'BM -ALL- Stock'!T31)), 3)</f>
        <v>#DIV/0!</v>
      </c>
      <c r="AN3" s="143">
        <f>$C$3</f>
        <v>468844.47000000003</v>
      </c>
      <c r="AO3" s="143"/>
      <c r="AP3" s="139"/>
    </row>
    <row r="4" spans="1:42" s="9" customFormat="1" ht="16.5" x14ac:dyDescent="0.3">
      <c r="A4" s="93" t="s">
        <v>22</v>
      </c>
      <c r="B4" s="95">
        <f>'BM -ALL- Stock'!C32</f>
        <v>3.5023832915608617</v>
      </c>
      <c r="C4" s="94">
        <f>'BM -ALL- Stock'!D32</f>
        <v>468844.47000000003</v>
      </c>
      <c r="D4" s="94">
        <f>SUM('BM -ALL- Stock'!D2,'BM -ALL- Stock'!D5,'BM -ALL- Stock'!D8,'BM -ALL- Stock'!D11,'BM -ALL- Stock'!D14,'BM -ALL- Stock'!D17,'BM -ALL- Stock'!D20,'BM -ALL- Stock'!D23,'BM -ALL- Stock'!D26,'BM -ALL- Stock'!D29)</f>
        <v>137644.71</v>
      </c>
      <c r="E4" s="94">
        <f>SUM('BM -ALL- Stock'!D3,'BM -ALL- Stock'!D6,'BM -ALL- Stock'!D9,'BM -ALL- Stock'!D12,'BM -ALL- Stock'!D15,'BM -ALL- Stock'!D18,'BM -ALL- Stock'!D21,'BM -ALL- Stock'!D24,'BM -ALL- Stock'!D27,'BM -ALL- Stock'!D30)</f>
        <v>331199.76</v>
      </c>
      <c r="F4" s="94">
        <f>SUM('BM -ALL- Stock'!D4,'BM -ALL- Stock'!D7,'BM -ALL- Stock'!D10,'BM -ALL- Stock'!D13,'BM -ALL- Stock'!D16,'BM -ALL- Stock'!D19,'BM -ALL- Stock'!D22,'BM -ALL- Stock'!D25,'BM -ALL- Stock'!D28,'BM -ALL- Stock'!D31)</f>
        <v>0</v>
      </c>
      <c r="G4" s="94">
        <f>'BM -ALL- Stock'!E32</f>
        <v>1719625.5000000002</v>
      </c>
      <c r="H4" s="94">
        <f>'BM -ALL- Stock'!F32</f>
        <v>1606372.9100000001</v>
      </c>
      <c r="I4" s="94">
        <f>'BM -ALL- Stock'!G32</f>
        <v>2255485.9900000002</v>
      </c>
      <c r="J4" s="94">
        <f>'BM -ALL- Stock'!H32</f>
        <v>649113.08000000019</v>
      </c>
      <c r="K4" s="102">
        <f>'BM -ALL- Stock'!I32</f>
        <v>0.28799999999999998</v>
      </c>
      <c r="L4" s="102">
        <f>ROUND((1 - SUM('BM -ALL- Stock'!F2,'BM -ALL- Stock'!F5,'BM -ALL- Stock'!F8,'BM -ALL- Stock'!F11,'BM -ALL- Stock'!F14,'BM -ALL- Stock'!F17,'BM -ALL- Stock'!F20,'BM -ALL- Stock'!F23,'BM -ALL- Stock'!F26,'BM -ALL- Stock'!F29 )/SUM('BM -ALL- Stock'!G2,'BM -ALL- Stock'!G5,'BM -ALL- Stock'!G8,'BM -ALL- Stock'!G11,'BM -ALL- Stock'!G14,'BM -ALL- Stock'!G17,'BM -ALL- Stock'!G20,'BM -ALL- Stock'!G23,'BM -ALL- Stock'!G26,'BM -ALL- Stock'!G29 )), 3)</f>
        <v>0.32900000000000001</v>
      </c>
      <c r="M4" s="102">
        <f>ROUND((1 - SUM('BM -ALL- Stock'!F3,'BM -ALL- Stock'!F6,'BM -ALL- Stock'!F9,'BM -ALL- Stock'!F12,'BM -ALL- Stock'!F15,'BM -ALL- Stock'!F18,'BM -ALL- Stock'!F21,'BM -ALL- Stock'!F24,'BM -ALL- Stock'!F27,'BM -ALL- Stock'!F30) / SUM('BM -ALL- Stock'!G3,'BM -ALL- Stock'!G6,'BM -ALL- Stock'!G9,'BM -ALL- Stock'!G12,'BM -ALL- Stock'!G15,'BM -ALL- Stock'!G18,'BM -ALL- Stock'!G21,'BM -ALL- Stock'!G24,'BM -ALL- Stock'!G27,'BM -ALL- Stock'!G30)), 3)</f>
        <v>0.26</v>
      </c>
      <c r="N4" s="102" t="e">
        <f>ROUND((1 - SUM('BM -ALL- Stock'!F4,'BM -ALL- Stock'!F7,'BM -ALL- Stock'!F10,'BM -ALL- Stock'!F13,'BM -ALL- Stock'!F16,'BM -ALL- Stock'!F19,'BM -ALL- Stock'!F22,'BM -ALL- Stock'!F25,'BM -ALL- Stock'!F28,'BM -ALL- Stock'!F31) / SUM('BM -ALL- Stock'!G4,'BM -ALL- Stock'!G7,'BM -ALL- Stock'!G10,'BM -ALL- Stock'!G13,'BM -ALL- Stock'!G16,'BM -ALL- Stock'!G19,'BM -ALL- Stock'!G22,'BM -ALL- Stock'!G25,'BM -ALL- Stock'!G28,'BM -ALL- Stock'!G31)), 3)</f>
        <v>#DIV/0!</v>
      </c>
      <c r="O4" s="113">
        <f>'BM -ALL- Stock'!J32</f>
        <v>455713.12000000005</v>
      </c>
      <c r="P4" s="94">
        <f>SUM('BM -ALL- Stock'!J2,'BM -ALL- Stock'!J5,'BM -ALL- Stock'!J8,'BM -ALL- Stock'!J11,'BM -ALL- Stock'!J14,'BM -ALL- Stock'!J17,'BM -ALL- Stock'!J20,'BM -ALL- Stock'!J23,'BM -ALL- Stock'!J26,'BM -ALL- Stock'!J29)</f>
        <v>90670.36</v>
      </c>
      <c r="Q4" s="94">
        <f>SUM('BM -ALL- Stock'!J3,'BM -ALL- Stock'!J6,'BM -ALL- Stock'!J9,'BM -ALL- Stock'!J12,'BM -ALL- Stock'!J15,'BM -ALL- Stock'!J18,'BM -ALL- Stock'!J21,'BM -ALL- Stock'!J24,'BM -ALL- Stock'!J27,'BM -ALL- Stock'!J30)</f>
        <v>364120.27</v>
      </c>
      <c r="R4" s="94">
        <f>SUM('BM -ALL- Stock'!J4,'BM -ALL- Stock'!J7,'BM -ALL- Stock'!J10,'BM -ALL- Stock'!J13,'BM -ALL- Stock'!J16,'BM -ALL- Stock'!J19,'BM -ALL- Stock'!J22,'BM -ALL- Stock'!J25,'BM -ALL- Stock'!J28,'BM -ALL- Stock'!J31)</f>
        <v>922.49</v>
      </c>
      <c r="S4" s="94">
        <f>'BM -ALL- Stock'!K32</f>
        <v>1758320.6</v>
      </c>
      <c r="T4" s="94">
        <f>'BM -ALL- Stock'!L32</f>
        <v>1760134.6500000004</v>
      </c>
      <c r="U4" s="94">
        <f>'BM -ALL- Stock'!M32</f>
        <v>2495028.09</v>
      </c>
      <c r="V4" s="94">
        <f>'BM -ALL- Stock'!N32</f>
        <v>734893.44000000006</v>
      </c>
      <c r="W4" s="102">
        <f>'BM -ALL- Stock'!O32</f>
        <v>0.29499999999999998</v>
      </c>
      <c r="X4" s="102">
        <f>ROUND((1 - SUM('BM -ALL- Stock'!L2,'BM -ALL- Stock'!L5,'BM -ALL- Stock'!L8,'BM -ALL- Stock'!L11,'BM -ALL- Stock'!L14,'BM -ALL- Stock'!L17,'BM -ALL- Stock'!L20,'BM -ALL- Stock'!L23,'BM -ALL- Stock'!L26,'BM -ALL- Stock'!L29) / SUM('BM -ALL- Stock'!M2,'BM -ALL- Stock'!M5,'BM -ALL- Stock'!M8,'BM -ALL- Stock'!M11,'BM -ALL- Stock'!M14,'BM -ALL- Stock'!M17,'BM -ALL- Stock'!M20,'BM -ALL- Stock'!M23,'BM -ALL- Stock'!M26,'BM -ALL- Stock'!M29)), 3)</f>
        <v>0.33800000000000002</v>
      </c>
      <c r="Y4" s="102">
        <f>ROUND((1 - SUM('BM -ALL- Stock'!L3,'BM -ALL- Stock'!L6,'BM -ALL- Stock'!L9,'BM -ALL- Stock'!L12,'BM -ALL- Stock'!L15,'BM -ALL- Stock'!L18,'BM -ALL- Stock'!L21,'BM -ALL- Stock'!L24,'BM -ALL- Stock'!L27,'BM -ALL- Stock'!L30) / SUM('BM -ALL- Stock'!M3,'BM -ALL- Stock'!M6,'BM -ALL- Stock'!M9,'BM -ALL- Stock'!M12,'BM -ALL- Stock'!M15,'BM -ALL- Stock'!M18,'BM -ALL- Stock'!M21,'BM -ALL- Stock'!M24,'BM -ALL- Stock'!M27,'BM -ALL- Stock'!M30)), 3)</f>
        <v>0.26600000000000001</v>
      </c>
      <c r="Z4" s="102">
        <f>ROUND((1 - SUM('BM -ALL- Stock'!L4,'BM -ALL- Stock'!L7,'BM -ALL- Stock'!L10,'BM -ALL- Stock'!L13,'BM -ALL- Stock'!L16,'BM -ALL- Stock'!L19,'BM -ALL- Stock'!L22,'BM -ALL- Stock'!L25,'BM -ALL- Stock'!L28,'BM -ALL- Stock'!L31) / SUM('BM -ALL- Stock'!M4,'BM -ALL- Stock'!M7,'BM -ALL- Stock'!M10,'BM -ALL- Stock'!M13,'BM -ALL- Stock'!M16,'BM -ALL- Stock'!M19,'BM -ALL- Stock'!M22,'BM -ALL- Stock'!M25,'BM -ALL- Stock'!M28,'BM -ALL- Stock'!M31)), 3)</f>
        <v>0.31900000000000001</v>
      </c>
      <c r="AA4" s="94">
        <f>'BM -ALL- Stock'!P32</f>
        <v>2255498</v>
      </c>
      <c r="AB4" s="94">
        <f>'BM -ALL- Stock'!Q32</f>
        <v>350887.11999999994</v>
      </c>
      <c r="AC4" s="94">
        <f>SUM('BM -ALL- Stock'!Q2,'BM -ALL- Stock'!Q5,'BM -ALL- Stock'!Q8,'BM -ALL- Stock'!Q11,'BM -ALL- Stock'!Q14,'BM -ALL- Stock'!Q17,'BM -ALL- Stock'!Q20,'BM -ALL- Stock'!Q23,'BM -ALL- Stock'!Q26,'BM -ALL- Stock'!Q29)</f>
        <v>75574.92</v>
      </c>
      <c r="AD4" s="94">
        <f>SUM('BM -ALL- Stock'!Q3,'BM -ALL- Stock'!Q6,'BM -ALL- Stock'!Q9,'BM -ALL- Stock'!Q12,'BM -ALL- Stock'!Q15,'BM -ALL- Stock'!Q18,'BM -ALL- Stock'!Q21,'BM -ALL- Stock'!Q24,'BM -ALL- Stock'!Q27,'BM -ALL- Stock'!Q30)</f>
        <v>275312.2</v>
      </c>
      <c r="AE4" s="94">
        <f>SUM('BM -ALL- Stock'!Q4,'BM -ALL- Stock'!Q7,'BM -ALL- Stock'!Q10,'BM -ALL- Stock'!Q13,'BM -ALL- Stock'!Q16,'BM -ALL- Stock'!Q19,'BM -ALL- Stock'!Q22,'BM -ALL- Stock'!Q25,'BM -ALL- Stock'!Q28,'BM -ALL- Stock'!Q31)</f>
        <v>0</v>
      </c>
      <c r="AF4" s="94">
        <f>'BM -ALL- Stock'!R32</f>
        <v>1724993.24</v>
      </c>
      <c r="AG4" s="94">
        <f>'BM -ALL- Stock'!S32</f>
        <v>1757919.63</v>
      </c>
      <c r="AH4" s="94">
        <f>'BM -ALL- Stock'!T32</f>
        <v>2490453.0300000003</v>
      </c>
      <c r="AI4" s="94">
        <f>'BM -ALL- Stock'!U32</f>
        <v>732533.4</v>
      </c>
      <c r="AJ4" s="124">
        <f>'BM -ALL- Stock'!V32</f>
        <v>0.29399999999999998</v>
      </c>
      <c r="AK4" s="126">
        <f>ROUND((1 - SUM('BM -ALL- Stock'!S2,'BM -ALL- Stock'!S5,'BM -ALL- Stock'!S8,'BM -ALL- Stock'!S11,'BM -ALL- Stock'!S14,'BM -ALL- Stock'!S17,'BM -ALL- Stock'!S20,'BM -ALL- Stock'!S23,'BM -ALL- Stock'!S26,'BM -ALL- Stock'!S29) / SUM('BM -ALL- Stock'!T2,'BM -ALL- Stock'!T5,'BM -ALL- Stock'!T8,'BM -ALL- Stock'!T11,'BM -ALL- Stock'!T14,'BM -ALL- Stock'!T17,'BM -ALL- Stock'!T20,'BM -ALL- Stock'!T23,'BM -ALL- Stock'!T26,'BM -ALL- Stock'!T29)), 3)</f>
        <v>0.33900000000000002</v>
      </c>
      <c r="AL4" s="126">
        <f>ROUND((1 - SUM('BM -ALL- Stock'!S3,'BM -ALL- Stock'!S6,'BM -ALL- Stock'!S9,'BM -ALL- Stock'!S12,'BM -ALL- Stock'!S15,'BM -ALL- Stock'!S18,'BM -ALL- Stock'!S21,'BM -ALL- Stock'!S24,'BM -ALL- Stock'!S27,'BM -ALL- Stock'!S30) / SUM('BM -ALL- Stock'!T3,'BM -ALL- Stock'!T6,'BM -ALL- Stock'!T9,'BM -ALL- Stock'!T12,'BM -ALL- Stock'!T15,'BM -ALL- Stock'!T18,'BM -ALL- Stock'!T21,'BM -ALL- Stock'!T24,'BM -ALL- Stock'!T27,'BM -ALL- Stock'!T30)), 3)</f>
        <v>0.27</v>
      </c>
      <c r="AM4" s="128" t="e">
        <f>ROUND((1 - SUM('BM -ALL- Stock'!S4,'BM -ALL- Stock'!S7,'BM -ALL- Stock'!S10,'BM -ALL- Stock'!S13,'BM -ALL- Stock'!S16,'BM -ALL- Stock'!S19,'BM -ALL- Stock'!S22,'BM -ALL- Stock'!S25,'BM -ALL- Stock'!S28,'BM -ALL- Stock'!S31) / SUM('BM -ALL- Stock'!T4,'BM -ALL- Stock'!T7,'BM -ALL- Stock'!T10,'BM -ALL- Stock'!T13,'BM -ALL- Stock'!T16,'BM -ALL- Stock'!T19,'BM -ALL- Stock'!T22,'BM -ALL- Stock'!T25,'BM -ALL- Stock'!T28,'BM -ALL- Stock'!T31)), 3)</f>
        <v>#DIV/0!</v>
      </c>
      <c r="AO4" s="143"/>
      <c r="AP4" s="139"/>
    </row>
    <row r="5" spans="1:42" s="9" customFormat="1" ht="16.5" x14ac:dyDescent="0.3">
      <c r="A5" s="93" t="s">
        <v>23</v>
      </c>
      <c r="B5" s="95">
        <v>0</v>
      </c>
      <c r="C5" s="94">
        <v>0</v>
      </c>
      <c r="D5" s="94">
        <v>0</v>
      </c>
      <c r="E5" s="94">
        <v>0</v>
      </c>
      <c r="F5" s="94">
        <v>0</v>
      </c>
      <c r="G5" s="94">
        <v>0</v>
      </c>
      <c r="H5" s="94">
        <v>0</v>
      </c>
      <c r="I5" s="94">
        <v>0</v>
      </c>
      <c r="J5" s="94">
        <v>0</v>
      </c>
      <c r="K5" s="102">
        <v>0</v>
      </c>
      <c r="L5" s="102">
        <v>0</v>
      </c>
      <c r="M5" s="102">
        <v>0</v>
      </c>
      <c r="N5" s="102">
        <v>0</v>
      </c>
      <c r="O5" s="113">
        <v>0</v>
      </c>
      <c r="P5" s="94">
        <v>0</v>
      </c>
      <c r="Q5" s="94">
        <v>0</v>
      </c>
      <c r="R5" s="94">
        <v>0</v>
      </c>
      <c r="S5" s="94">
        <v>0</v>
      </c>
      <c r="T5" s="94">
        <v>0</v>
      </c>
      <c r="U5" s="94">
        <v>0</v>
      </c>
      <c r="V5" s="94">
        <v>0</v>
      </c>
      <c r="W5" s="102">
        <v>0</v>
      </c>
      <c r="X5" s="102">
        <v>0</v>
      </c>
      <c r="Y5" s="102">
        <v>0</v>
      </c>
      <c r="Z5" s="102">
        <v>0</v>
      </c>
      <c r="AA5" s="94">
        <v>0</v>
      </c>
      <c r="AB5" s="94">
        <v>0</v>
      </c>
      <c r="AC5" s="94">
        <v>0</v>
      </c>
      <c r="AD5" s="94">
        <v>0</v>
      </c>
      <c r="AE5" s="94">
        <v>0</v>
      </c>
      <c r="AF5" s="94">
        <v>0</v>
      </c>
      <c r="AG5" s="94">
        <v>0</v>
      </c>
      <c r="AH5" s="94">
        <v>0</v>
      </c>
      <c r="AI5" s="94">
        <v>0</v>
      </c>
      <c r="AJ5" s="124">
        <v>0</v>
      </c>
      <c r="AK5" s="126">
        <v>0</v>
      </c>
      <c r="AL5" s="126">
        <v>0</v>
      </c>
      <c r="AM5" s="128">
        <v>0</v>
      </c>
      <c r="AO5" s="143"/>
      <c r="AP5" s="139"/>
    </row>
    <row r="6" spans="1:42" x14ac:dyDescent="0.25">
      <c r="A6" s="44" t="s">
        <v>24</v>
      </c>
      <c r="B6" s="54">
        <f>'L - All'!C32</f>
        <v>1.4056699507714956</v>
      </c>
      <c r="C6" s="45">
        <f>'L - All'!D32</f>
        <v>505845.25999999995</v>
      </c>
      <c r="D6" s="45">
        <f>SUM('L - All'!D2,'L - All'!D5,'L - All'!D8,'L - All'!D11,'L - All'!D14,'L - All'!D17,'L - All'!D20,'L - All'!D23,'L - All'!D26,'L - All'!D29)</f>
        <v>152625.13</v>
      </c>
      <c r="E6" s="45">
        <f>SUM('L - All'!D3,'L - All'!D6,'L - All'!D9,'L - All'!D12,'L - All'!D15,'L - All'!D18,'L - All'!D21,'L - All'!D24,'L - All'!D27,'L - All'!D30)</f>
        <v>353036.47</v>
      </c>
      <c r="F6" s="45">
        <f>SUM('L - All'!D4,'L - All'!D7,'L - All'!D10,'L - All'!D13,'L - All'!D16,'L - All'!D19,'L - All'!D22,'L - All'!D25,'L - All'!D28,'L - All'!D31)</f>
        <v>183.66</v>
      </c>
      <c r="G6" s="45">
        <f>'L - All'!E32</f>
        <v>4226432.9899999993</v>
      </c>
      <c r="H6" s="45">
        <f>'L - All'!F32</f>
        <v>4318327.4400000004</v>
      </c>
      <c r="I6" s="45">
        <f>'L - All'!G32</f>
        <v>6114313.2999999998</v>
      </c>
      <c r="J6" s="45">
        <f>'L - All'!H32</f>
        <v>1795985.8599999996</v>
      </c>
      <c r="K6" s="103">
        <f>'L - All'!I32</f>
        <v>0.29399999999999998</v>
      </c>
      <c r="L6" s="103">
        <f>ROUND((1 - SUM('L - All'!F2,'L - All'!F5,'L - All'!F8,'L - All'!F11,'L - All'!F14,'L - All'!F17,'L - All'!F20,'L - All'!F23,'L - All'!F26,'L - All'!F29) / SUM('L - All'!G2,'L - All'!G5,'L - All'!G8,'L - All'!G11,'L - All'!G14,'L - All'!G17,'L - All'!G20,'L - All'!G23,'L - All'!G26,'L - All'!G29)), 3)</f>
        <v>0.35199999999999998</v>
      </c>
      <c r="M6" s="103">
        <f>ROUND((1 - SUM('L - All'!F3,'L - All'!F6,'L - All'!F9,'L - All'!F12,'L - All'!F15,'L - All'!F18,'L - All'!F21,'L - All'!F24,'L - All'!F27,'L - All'!F30) / SUM('L - All'!G3,'L - All'!G6,'L - All'!G9,'L - All'!G12,'L - All'!G15,'L - All'!G18,'L - All'!G21,'L - All'!G24,'L - All'!G27,'L - All'!G30)), 3)</f>
        <v>0.255</v>
      </c>
      <c r="N6" s="103" t="e">
        <f>ROUND((1 - SUM('L - All'!F4,'L - All'!F7,'L - All'!F10,'L - All'!F13,'L - All'!F16,'L - All'!F19,'L - All'!F22,'L - All'!F25,'L - All'!F28,'L - All'!F31) / SUM('L - All'!G4,'L - All'!G7,'L - All'!G10,'L - All'!G13,'L - All'!G16,'L - All'!G19,'L - All'!G22,'L - All'!G25,'L - All'!G28,'L - All'!G31)), 3)</f>
        <v>#DIV/0!</v>
      </c>
      <c r="O6" s="114">
        <f>'L - All'!J32</f>
        <v>570016.73000000021</v>
      </c>
      <c r="P6" s="45">
        <f>SUM('L - All'!J2,'L - All'!J5,'L - All'!J8,'L - All'!J11,'L - All'!J14,'L - All'!J17,'L - All'!J20,'L - All'!J23,'L - All'!D26,'L - All'!J29)</f>
        <v>134031.52000000002</v>
      </c>
      <c r="Q6" s="45">
        <f>SUM('L - All'!J3,'L - All'!J6,'L - All'!J9,'L - All'!J12,'L - All'!J15,'L - All'!J18,'L - All'!J21,'L - All'!J24,'L - All'!J27,'L - All'!J30)</f>
        <v>436001.36</v>
      </c>
      <c r="R6" s="45">
        <f>SUM('L - All'!J4,'L - All'!J7,'L - All'!J10,'L - All'!J13,'L - All'!J16,'L - All'!J19,'L - All'!J22,'L - All'!J25,'L - All'!J28,'L - All'!J31)</f>
        <v>183.66</v>
      </c>
      <c r="S6" s="45">
        <f>'L - All'!K32</f>
        <v>4356057.1100000003</v>
      </c>
      <c r="T6" s="45">
        <f>'L - All'!L32</f>
        <v>4548130.41</v>
      </c>
      <c r="U6" s="45">
        <f>'L - All'!M32</f>
        <v>6219062.7300000014</v>
      </c>
      <c r="V6" s="45">
        <f>'L - All'!N32</f>
        <v>1670932.3199999998</v>
      </c>
      <c r="W6" s="103">
        <f>'L - All'!O32</f>
        <v>0.26900000000000002</v>
      </c>
      <c r="X6" s="103">
        <f>ROUND((1 - SUM('L - All'!L2,'L - All'!L5,'L - All'!L8,'L - All'!L11,'L - All'!L14,'L - All'!L17,'L - All'!L20,'L - All'!L23,'L - All'!L26,'L - All'!L29) / SUM('L - All'!M2,'L - All'!M5,'L - All'!M8,'L - All'!M11,'L - All'!M14,'L - All'!M17,'L - All'!M20,'L - All'!M23,'L - All'!M26,'L - All'!M29)), 3)</f>
        <v>0.33400000000000002</v>
      </c>
      <c r="Y6" s="103">
        <f>ROUND((1 - SUM('L - All'!L3,'L - All'!L6,'L - All'!L9,'L - All'!L12,'L - All'!L15,'L - All'!L18,'L - All'!L21,'L - All'!L24,'L - All'!L27,'L - All'!L30) / SUM('L - All'!M3,'L - All'!M6,'L - All'!M9,'L - All'!M12,'L - All'!M15,'L - All'!M18,'L - All'!M21,'L - All'!M24,'L - All'!M27,'L - All'!M30)), 3)</f>
        <v>0.24099999999999999</v>
      </c>
      <c r="Z6" s="103" t="e">
        <f>ROUND((1 - SUM('L - All'!L4,'L - All'!L7,'L - All'!L10,'L - All'!L13,'L - All'!L16,'L - All'!L19,'L - All'!L22,'L - All'!L25,'L - All'!L28,'L - All'!L31) / SUM('L - All'!M4,'L - All'!M7,'L - All'!M10,'L - All'!M13,'L - All'!M16,'L - All'!M19,'L - All'!M22,'L - All'!M25,'L - All'!M28,'L - All'!M31)), 3)</f>
        <v>#DIV/0!</v>
      </c>
      <c r="AA6" s="45">
        <f>'L - All'!P32</f>
        <v>6115288</v>
      </c>
      <c r="AB6" s="45">
        <f>'L - All'!Q32</f>
        <v>587808.07999999996</v>
      </c>
      <c r="AC6" s="45">
        <f>SUM('L - All'!Q2,'L - All'!Q5,'L - All'!Q8,'L - All'!Q11,'L - All'!Q14,'L - All'!Q17,'L - All'!Q20,'L - All'!Q23,'L - All'!Q26,'L - All'!Q29)</f>
        <v>112397.95</v>
      </c>
      <c r="AD6" s="45">
        <f>SUM('L - All'!Q3,'L - All'!Q6,'L - All'!Q9,'L - All'!Q12,'L - All'!Q15,'L - All'!Q18,'L - All'!Q21,'L - All'!Q24,'L - All'!Q27,'L - All'!Q30)</f>
        <v>475410.13</v>
      </c>
      <c r="AE6" s="45">
        <f>SUM('L - All'!Q4,'L - All'!Q7,'L - All'!Q10,'L - All'!Q13,'L - All'!Q16,'L - All'!Q19,'L - All'!Q22,'L - All'!Q25,'L - All'!Q28,'L - All'!Q31)</f>
        <v>0</v>
      </c>
      <c r="AF6" s="45">
        <f>'L - All'!R32</f>
        <v>4405158.6099999994</v>
      </c>
      <c r="AG6" s="45">
        <f>'L - All'!S32</f>
        <v>4316558.1900000013</v>
      </c>
      <c r="AH6" s="45">
        <f>'L - All'!T32</f>
        <v>5986782.0600000005</v>
      </c>
      <c r="AI6" s="45">
        <f>'L - All'!U32</f>
        <v>1670223.8700000003</v>
      </c>
      <c r="AJ6" s="125">
        <f>'L - All'!V32</f>
        <v>0.27900000000000003</v>
      </c>
      <c r="AK6" s="103">
        <f>ROUND((1 - SUM('L - All'!S2,'L - All'!S5,'L - All'!S8,'L - All'!S11,'L - All'!S14,'L - All'!S17,'L - All'!S20,'L - All'!S23,'L - All'!S26,'L - All'!S29) / SUM('L - All'!T2,'L - All'!T5,'L - All'!T8,'L - All'!T11,'L - All'!T14,'L - All'!T17,'L - All'!T20,'L - All'!T23,'L - All'!T26,'L - All'!T29)), 3)</f>
        <v>0.32100000000000001</v>
      </c>
      <c r="AL6" s="103">
        <f>ROUND((1 - SUM('L - All'!S3,'L - All'!S6,'L - All'!S9,'L - All'!S12,'L - All'!S15,'L - All'!S18,'L - All'!S21,'L - All'!S24,'L - All'!S27,'L - All'!S30) / SUM('L - All'!T3,'L - All'!T6,'L - All'!T9,'L - All'!T12,'L - All'!T15,'L - All'!T18,'L - All'!T21,'L - All'!T24,'L - All'!T27,'L - All'!T30)), 3)</f>
        <v>0.25700000000000001</v>
      </c>
      <c r="AM6" s="112" t="e">
        <f>ROUND((1 - SUM('L - All'!S4,'L - All'!S7,'L - All'!S10,'L - All'!S13,'L - All'!S16,'L - All'!S19,'L - All'!S22,'L - All'!S25,'L - All'!S28,'L - All'!S31) / SUM('L - All'!T4,'L - All'!T7,'L - All'!T10,'L - All'!T13,'L - All'!T16,'L - All'!T19,'L - All'!T22,'L - All'!T25,'L - All'!T28,'L - All'!T31)), 3)</f>
        <v>#DIV/0!</v>
      </c>
      <c r="AN6" s="141">
        <f>$C$6</f>
        <v>505845.25999999995</v>
      </c>
      <c r="AO6" s="141"/>
      <c r="AP6" s="140"/>
    </row>
    <row r="7" spans="1:42" x14ac:dyDescent="0.25">
      <c r="A7" s="44" t="s">
        <v>25</v>
      </c>
      <c r="B7" s="54">
        <f>'L - Stock'!C29</f>
        <v>2.0752246708890647</v>
      </c>
      <c r="C7" s="45">
        <f>'L - Stock'!D29</f>
        <v>482814.72999999992</v>
      </c>
      <c r="D7" s="45">
        <f>SUM('L - Stock'!D2,'L - Stock'!D5,'L - Stock'!D8,'L - Stock'!D11,'L - Stock'!D14,'L - Stock'!D17,'L - Stock'!D20,'L - Stock'!D23,'L - Stock'!D26)</f>
        <v>148116.35</v>
      </c>
      <c r="E7" s="45">
        <f>SUM('L - Stock'!D3,'L - Stock'!D6,'L - Stock'!D9,'L - Stock'!D12,'L - Stock'!D15,'L - Stock'!D18,'L - Stock'!D21,'L - Stock'!D24,'L - Stock'!D27)</f>
        <v>334514.71999999997</v>
      </c>
      <c r="F7" s="45">
        <f>SUM('L - Stock'!D4,'L - Stock'!D7,'L - Stock'!D10,'L - Stock'!D13,'L - Stock'!D16,'L - Stock'!D19,'L - Stock'!D22,'L - Stock'!D25,'L - Stock'!D28)</f>
        <v>183.66</v>
      </c>
      <c r="G7" s="45">
        <f>'L - Stock'!E29</f>
        <v>2700450.6599999997</v>
      </c>
      <c r="H7" s="45">
        <f>'L - Stock'!F29</f>
        <v>2791879.28</v>
      </c>
      <c r="I7" s="45">
        <f>'L - Stock'!G29</f>
        <v>4180646.3499999996</v>
      </c>
      <c r="J7" s="45">
        <f>'L - Stock'!H29</f>
        <v>1388767.0699999998</v>
      </c>
      <c r="K7" s="103">
        <f>'L - Stock'!I29</f>
        <v>0.33218955963591612</v>
      </c>
      <c r="L7" s="103">
        <f>ROUND((1 - SUM('L - Stock'!F2,'L - Stock'!F5,'L - Stock'!F8,'L - Stock'!F11,'L - Stock'!F14,'L - Stock'!F17,'L - Stock'!F20,'L - Stock'!F23,'L - Stock'!F26) / SUM('L - Stock'!G2,'L - Stock'!G5,'L - Stock'!G8,'L - Stock'!G11,'L - Stock'!G14,'L - Stock'!G17,'L - Stock'!G20,'L - Stock'!G23,'L - Stock'!G26)), 3)</f>
        <v>0.376</v>
      </c>
      <c r="M7" s="103">
        <f>ROUND((1 - SUM('L - Stock'!F3,'L - Stock'!F6,'L - Stock'!F9,'L - Stock'!F12,'L - Stock'!F15,'L - Stock'!F18,'L - Stock'!F21,'L - Stock'!F24,'L - Stock'!F27) / SUM('L - Stock'!G3,'L - Stock'!G6,'L - Stock'!G9,'L - Stock'!G12,'L - Stock'!G15,'L - Stock'!G18,'L - Stock'!G21,'L - Stock'!G24,'L - Stock'!G27)), 3)</f>
        <v>0.28999999999999998</v>
      </c>
      <c r="N7" s="103" t="e">
        <f>ROUND((1 - SUM('L - Stock'!F4,'L - Stock'!F7,'L - Stock'!F10,'L - Stock'!F13,'L - Stock'!F16,'L - Stock'!F19,'L - Stock'!F22,'L - Stock'!F25,'L - Stock'!F28) / SUM('L - Stock'!G4,'L - Stock'!G7,'L - Stock'!G10,'L - Stock'!G13,'L - Stock'!G16,'L - Stock'!G19,'L - Stock'!G22,'L - Stock'!G25,'L - Stock'!G28)), 3)</f>
        <v>#DIV/0!</v>
      </c>
      <c r="O7" s="114">
        <f>'L - Stock'!J29</f>
        <v>534716.7200000002</v>
      </c>
      <c r="P7" s="45">
        <f>SUM('L - Stock'!J2,'L - Stock'!J5,'L - Stock'!J8,'L - Stock'!J11,'L - Stock'!J14,'L - Stock'!J17,'L - Stock'!J20,'L - Stock'!J23,'L - Stock'!J26)</f>
        <v>133661.83000000002</v>
      </c>
      <c r="Q7" s="45">
        <f>SUM('L - Stock'!J3,'L - Stock'!J6,'L - Stock'!J9,'L - Stock'!J12,'L - Stock'!J15,'L - Stock'!J18,'L - Stock'!J21,'L - Stock'!J24,'L - Stock'!J27)</f>
        <v>400871.23</v>
      </c>
      <c r="R7" s="45">
        <f>SUM('L - Stock'!J4,'L - Stock'!J7,'L - Stock'!J10,'L - Stock'!J13,'L - Stock'!J16,'L - Stock'!J19,'L - Stock'!J22,'L - Stock'!J25,'L - Stock'!J28)</f>
        <v>183.66</v>
      </c>
      <c r="S7" s="45">
        <f>'L - Stock'!K29</f>
        <v>2744136.0900000003</v>
      </c>
      <c r="T7" s="45">
        <f>'L - Stock'!L29</f>
        <v>2878190.1500000004</v>
      </c>
      <c r="U7" s="45">
        <f>'L - Stock'!M29</f>
        <v>4120624.1799999997</v>
      </c>
      <c r="V7" s="45">
        <f>'L - Stock'!N29</f>
        <v>1242434.0299999998</v>
      </c>
      <c r="W7" s="103">
        <f>'L - Stock'!O29</f>
        <v>0.30151597809630859</v>
      </c>
      <c r="X7" s="103">
        <f>ROUND((1 - SUM('L - Stock'!L2,'L - Stock'!L5,'L - Stock'!L8,'L - Stock'!L11,'L - Stock'!L14,'L - Stock'!L17,'L - Stock'!L20,'L - Stock'!L23,'L - Stock'!L26) / SUM('L - Stock'!M2,'L - Stock'!M5,'L - Stock'!M8,'L - Stock'!M11,'L - Stock'!M14,'L - Stock'!M17,'L - Stock'!M20,'L - Stock'!M23,'L - Stock'!M26)), 3)</f>
        <v>0.33800000000000002</v>
      </c>
      <c r="Y7" s="103">
        <f>ROUND((1 - SUM('L - Stock'!L3,'L - Stock'!L6,'L - Stock'!L9,'L - Stock'!L12,'L - Stock'!L15,'L - Stock'!L18,'L - Stock'!L21,'L - Stock'!L24,'L - Stock'!L27) / SUM('L - Stock'!M3,'L - Stock'!M6,'L - Stock'!M9,'L - Stock'!M12,'L - Stock'!M15,'L - Stock'!M18,'L - Stock'!M21,'L - Stock'!M24,'L - Stock'!M27)), 3)</f>
        <v>0.27400000000000002</v>
      </c>
      <c r="Z7" s="103" t="e">
        <f>ROUND((1 - SUM('L - Stock'!L4,'L - Stock'!L7,'L - Stock'!L10,'L - Stock'!L13,'L - Stock'!L16,'L - Stock'!L19,'L - Stock'!L22,'L - Stock'!L25,'L - Stock'!L28) / SUM('L - Stock'!M4,'L - Stock'!M7,'L - Stock'!M10,'L - Stock'!M13,'L - Stock'!M16,'L - Stock'!M19,'L - Stock'!M22,'L - Stock'!M25,'L - Stock'!M28)), 3)</f>
        <v>#DIV/0!</v>
      </c>
      <c r="AA7" s="45">
        <f>'L - Stock'!P29</f>
        <v>4181527</v>
      </c>
      <c r="AB7" s="45">
        <f>'L - Stock'!Q29</f>
        <v>494287.63000000006</v>
      </c>
      <c r="AC7" s="45">
        <f>SUM('L - Stock'!Q2,'L - Stock'!Q5,'L - Stock'!Q8,'L - Stock'!Q11,'L - Stock'!Q14,'L - Stock'!Q17,'L - Stock'!Q20,'L - Stock'!Q23,'L - Stock'!Q26)</f>
        <v>112255.75</v>
      </c>
      <c r="AD7" s="45">
        <f>SUM('L - Stock'!Q3,'L - Stock'!Q6,'L - Stock'!Q9,'L - Stock'!Q12,'L - Stock'!Q15,'L - Stock'!Q18,'L - Stock'!Q21,'L - Stock'!Q24,'L - Stock'!Q27)</f>
        <v>382031.88</v>
      </c>
      <c r="AE7" s="45">
        <f>SUM('L - Stock'!Q4,'L - Stock'!Q7,'L - Stock'!Q10,'L - Stock'!Q13,'L - Stock'!Q16,'L - Stock'!Q19,'L - Stock'!Q22,'L - Stock'!Q25,'L - Stock'!Q28)</f>
        <v>0</v>
      </c>
      <c r="AF7" s="45">
        <f>'L - Stock'!R29</f>
        <v>3057428.1999999997</v>
      </c>
      <c r="AG7" s="45">
        <f>'L - Stock'!S29</f>
        <v>3021020.0500000003</v>
      </c>
      <c r="AH7" s="45">
        <f>'L - Stock'!T29</f>
        <v>4348921.8000000007</v>
      </c>
      <c r="AI7" s="45">
        <f>'L - Stock'!U29</f>
        <v>1327901.7500000002</v>
      </c>
      <c r="AJ7" s="103">
        <f>'L - Stock'!V29</f>
        <v>0.3053404524312211</v>
      </c>
      <c r="AK7" s="103">
        <f>ROUND((1 - SUM('L - Stock'!S2,'L - Stock'!S5,'L - Stock'!S8,'L - Stock'!S11,'L - Stock'!S14,'L - Stock'!S17,'L - Stock'!S20,'L - Stock'!S23,'L - Stock'!S26) / SUM('L - Stock'!T2,'L - Stock'!T5,'L - Stock'!T8,'L - Stock'!T11,'L - Stock'!T14,'L - Stock'!T17,'L - Stock'!T20,'L - Stock'!T23,'L - Stock'!T26)), 3)</f>
        <v>0.32500000000000001</v>
      </c>
      <c r="AL7" s="103">
        <f>ROUND((1 - SUM('L - Stock'!S3,'L - Stock'!S6,'L - Stock'!S9,'L - Stock'!S12,'L - Stock'!S15,'L - Stock'!S18,'L - Stock'!S21,'L - Stock'!S24,'L - Stock'!S27) / SUM('L - Stock'!T3,'L - Stock'!T6,'L - Stock'!T9,'L - Stock'!T12,'L - Stock'!T15,'L - Stock'!T18,'L - Stock'!T21,'L - Stock'!T24,'L - Stock'!T27)), 3)</f>
        <v>0.28899999999999998</v>
      </c>
      <c r="AM7" s="112" t="e">
        <f>ROUND((1 - SUM('L - Stock'!S4,'L - Stock'!S7,'L - Stock'!S10,'L - Stock'!S13,'L - Stock'!S16,'L - Stock'!S19,'L - Stock'!S22,'L - Stock'!S25,'L - Stock'!S28) / SUM('L - Stock'!T4,'L - Stock'!T7,'L - Stock'!T10,'L - Stock'!T13,'L - Stock'!T16,'L - Stock'!T19,'L - Stock'!T22,'L - Stock'!T25,'L - Stock'!T28)), 3)</f>
        <v>#DIV/0!</v>
      </c>
      <c r="AO7" s="141"/>
      <c r="AP7" s="140"/>
    </row>
    <row r="8" spans="1:42" x14ac:dyDescent="0.25">
      <c r="A8" s="44" t="s">
        <v>26</v>
      </c>
      <c r="B8" s="54">
        <f>'L - SO'!C5</f>
        <v>0.1810519133515808</v>
      </c>
      <c r="C8" s="45">
        <f>'L - SO'!D5</f>
        <v>23030.53</v>
      </c>
      <c r="D8" s="45">
        <f>SUM('L - SO'!D2)</f>
        <v>4508.78</v>
      </c>
      <c r="E8" s="45">
        <f>SUM('L - SO'!D3)</f>
        <v>18521.75</v>
      </c>
      <c r="F8" s="45">
        <f>SUM('L - SO'!D4)</f>
        <v>0</v>
      </c>
      <c r="G8" s="45">
        <f>'L - SO'!E5</f>
        <v>1525982.33</v>
      </c>
      <c r="H8" s="45">
        <f>'L - SO'!F5</f>
        <v>1526448.1600000001</v>
      </c>
      <c r="I8" s="45">
        <f>'L - SO'!G5</f>
        <v>1933666.9500000002</v>
      </c>
      <c r="J8" s="45">
        <f>'L - SO'!H5</f>
        <v>407218.79</v>
      </c>
      <c r="K8" s="103">
        <f>'L - SO'!I5</f>
        <v>0.21059406843562178</v>
      </c>
      <c r="L8" s="103">
        <f>ROUND((1 - SUM('L - SO'!F2) / SUM('L - SO'!G2)), 3)</f>
        <v>0.22500000000000001</v>
      </c>
      <c r="M8" s="103">
        <f>ROUND((1 - SUM('L - SO'!F3) / SUM('L - SO'!G3)), 3)</f>
        <v>0.20699999999999999</v>
      </c>
      <c r="N8" s="103" t="e">
        <f>ROUND((1 - SUM('L - SO'!F4) / SUM('L - SO'!G4)), 3)</f>
        <v>#DIV/0!</v>
      </c>
      <c r="O8" s="114">
        <f>'L - SO'!J5</f>
        <v>35300.009999999995</v>
      </c>
      <c r="P8" s="45">
        <f>SUM('L - SO'!J2)</f>
        <v>169.88</v>
      </c>
      <c r="Q8" s="45">
        <f>SUM('L - SO'!J3)</f>
        <v>35130.129999999997</v>
      </c>
      <c r="R8" s="45">
        <f>SUM('L - SO'!J4)</f>
        <v>0</v>
      </c>
      <c r="S8" s="45">
        <f>'L - SO'!K5</f>
        <v>1611921.02</v>
      </c>
      <c r="T8" s="45">
        <f>'L - SO'!L5</f>
        <v>1669940.26</v>
      </c>
      <c r="U8" s="45">
        <f>'L - SO'!M5</f>
        <v>2098438.5499999998</v>
      </c>
      <c r="V8" s="45">
        <f>'L - SO'!N5</f>
        <v>428498.29</v>
      </c>
      <c r="W8" s="103">
        <f>'L - SO'!O5</f>
        <v>0.20419863617164291</v>
      </c>
      <c r="X8" s="103">
        <f>ROUND((1 - SUM('L - SO'!L2) / SUM('L - SO'!M2)), 3)</f>
        <v>0.24399999999999999</v>
      </c>
      <c r="Y8" s="103">
        <f>ROUND((1 - SUM('L - SO'!L3) / SUM('L - SO'!M3)), 3)</f>
        <v>0.20300000000000001</v>
      </c>
      <c r="Z8" s="103" t="e">
        <f>ROUND((1 - SUM('L - SO'!L4) / SUM('L - SO'!M4)), 3)</f>
        <v>#DIV/0!</v>
      </c>
      <c r="AA8" s="45">
        <f>'L - SO'!P5</f>
        <v>1933761</v>
      </c>
      <c r="AB8" s="45">
        <f>'L - SO'!Q5</f>
        <v>93520.45</v>
      </c>
      <c r="AC8" s="45">
        <f>SUM('L - SO'!Q2)</f>
        <v>142.19999999999999</v>
      </c>
      <c r="AD8" s="45">
        <f>SUM('L - SO'!Q3)</f>
        <v>93378.25</v>
      </c>
      <c r="AE8" s="45">
        <f>SUM('L - SO'!Q4)</f>
        <v>0</v>
      </c>
      <c r="AF8" s="45">
        <f>'L - SO'!R5</f>
        <v>1347730.41</v>
      </c>
      <c r="AG8" s="45">
        <f>'L - SO'!S5</f>
        <v>1295538.1399999999</v>
      </c>
      <c r="AH8" s="45">
        <f>'L - SO'!T5</f>
        <v>1637860.26</v>
      </c>
      <c r="AI8" s="45">
        <f>'L - SO'!U5</f>
        <v>342322.12</v>
      </c>
      <c r="AJ8" s="103">
        <f>'L - SO'!V5</f>
        <v>0.20900569380686973</v>
      </c>
      <c r="AK8" s="103">
        <f>ROUND((1 - SUM('L - SO'!S2) / SUM('L - SO'!T2)), 3)</f>
        <v>0.24099999999999999</v>
      </c>
      <c r="AL8" s="103">
        <f>ROUND((1 - SUM('L - SO'!S3) / SUM('L - SO'!T3)), 3)</f>
        <v>0.20699999999999999</v>
      </c>
      <c r="AM8" s="112" t="e">
        <f>ROUND((1 - SUM('L - SO'!S4) / SUM('L - SO'!T4)), 3)</f>
        <v>#DIV/0!</v>
      </c>
      <c r="AO8" s="141"/>
      <c r="AP8" s="140"/>
    </row>
    <row r="9" spans="1:42" x14ac:dyDescent="0.25">
      <c r="A9" s="46" t="s">
        <v>27</v>
      </c>
      <c r="B9" s="55">
        <f>'M - All'!C29</f>
        <v>0.90972394760157693</v>
      </c>
      <c r="C9" s="47">
        <f>'M - All'!D29</f>
        <v>170328.25</v>
      </c>
      <c r="D9" s="47">
        <f>SUM('M - All'!D2,'M - All'!D5,'M - All'!D8,'M - All'!D11,'M - All'!D14,'M - All'!D17,'M - All'!D20,'M - All'!D23,'M - All'!D26)</f>
        <v>32771.999999999993</v>
      </c>
      <c r="E9" s="47">
        <f>SUM('M - All'!D3,'M - All'!D6,'M - All'!D9,'M - All'!D12,'M - All'!D15,'M - All'!D18,'M - All'!D21,'M - All'!D24,'M - All'!D27)</f>
        <v>137556.25</v>
      </c>
      <c r="F9" s="47">
        <f>SUM('M - All'!D4,'M - All'!D7,'M - All'!D10,'M - All'!D13,'M - All'!D16,'M - All'!D19,'M - All'!D22,'M - All'!D25,'M - All'!D28)</f>
        <v>0</v>
      </c>
      <c r="G9" s="47">
        <f>'M - All'!E29</f>
        <v>2162524.79</v>
      </c>
      <c r="H9" s="47">
        <f>'M - All'!F29</f>
        <v>2246768.38</v>
      </c>
      <c r="I9" s="47">
        <f>'M - All'!G29</f>
        <v>2863591.5400000005</v>
      </c>
      <c r="J9" s="47">
        <f>'M - All'!H29</f>
        <v>616823.15999999992</v>
      </c>
      <c r="K9" s="104">
        <f>'M - All'!I29</f>
        <v>0.215</v>
      </c>
      <c r="L9" s="104">
        <f>ROUND((1 - SUM('M - All'!F2,'M - All'!F5,'M - All'!F8,'M - All'!F11,'M - All'!F14,'M - All'!F17,'M - All'!F20,'M - All'!F23,'M - All'!F26) / SUM('M - All'!G2,'M - All'!G5,'M - All'!G8,'M - All'!G11,'M - All'!G14,'M - All'!G17,'M - All'!G20,'M - All'!G23,'M - All'!G26)), 3)</f>
        <v>0.32</v>
      </c>
      <c r="M9" s="104">
        <f>ROUND((1 - SUM('M - All'!F3,'M - All'!F6,'M - All'!F9,'M - All'!F12,'M - All'!F15,'M - All'!F18,'M - All'!F21,'M - All'!F24,'M - All'!F27) / SUM('M - All'!G3,'M - All'!G6,'M - All'!G9,'M - All'!G12,'M - All'!G15,'M - All'!G18,'M - All'!G21,'M - All'!G24,'M - All'!G27)), 3)</f>
        <v>0.20599999999999999</v>
      </c>
      <c r="N9" s="104" t="e">
        <f>ROUND((1 - SUM('M - All'!F4,'M - All'!F7,'M - All'!F10,'M - All'!F13,'M - All'!F16,'M - All'!F19,'M - All'!F22,'M - All'!F25,'M - All'!F28) / SUM('M - All'!G4,'M - All'!G7,'M - All'!G10,'M - All'!G13,'M - All'!G16,'M - All'!G19,'M - All'!G22,'M - All'!G25,'M - All'!G28)), 3)</f>
        <v>#DIV/0!</v>
      </c>
      <c r="O9" s="115">
        <f>'M - All'!J29</f>
        <v>275195.28000000003</v>
      </c>
      <c r="P9" s="47">
        <f>SUM('M - All'!J2,'M - All'!J5,'M - All'!J8,'M - All'!J11,'M - All'!J14,'M - All'!J17,'M - All'!J20,'M - All'!J23,'M - All'!J26)</f>
        <v>28611.750000000004</v>
      </c>
      <c r="Q9" s="47">
        <f>SUM('M - All'!J3,'M - All'!J6,'M - All'!J9,'M - All'!J12,'M - All'!J15,'M - All'!J18,'M - All'!J21,'M - All'!J24,'M - All'!J27)</f>
        <v>246583.53</v>
      </c>
      <c r="R9" s="47">
        <f>SUM('M - All'!J4,'M - All'!J7,'M - All'!J10,'M - All'!J13,'M - All'!J16,'M - All'!J19,'M - All'!J22,'M - All'!J25,'M - All'!J28)</f>
        <v>0</v>
      </c>
      <c r="S9" s="47">
        <f>'M - All'!K29</f>
        <v>2336700.77</v>
      </c>
      <c r="T9" s="47">
        <f>'M - All'!L29</f>
        <v>2267078.7800000003</v>
      </c>
      <c r="U9" s="47">
        <f>'M - All'!M29</f>
        <v>2878744.2899999996</v>
      </c>
      <c r="V9" s="47">
        <f>'M - All'!N29</f>
        <v>611665.51000000013</v>
      </c>
      <c r="W9" s="104">
        <f>'M - All'!O29</f>
        <v>0.21199999999999999</v>
      </c>
      <c r="X9" s="104">
        <f>ROUND((1 - SUM('M - All'!L2,'M - All'!L5,'M - All'!L8,'M - All'!L11,'M - All'!L14,'M - All'!L17,'M - All'!L20,'M - All'!L23,'M - All'!L26) / SUM('M - All'!M2,'M - All'!M5,'M - All'!M8,'M - All'!M11,'M - All'!M14,'M - All'!M17,'M - All'!M20,'M - All'!M23,'M - All'!M26)), 3)</f>
        <v>0.33700000000000002</v>
      </c>
      <c r="Y9" s="104">
        <f>ROUND((1 - SUM('M - All'!L3,'M - All'!L6,'M - All'!L9,'M - All'!L12,'M - All'!L15,'M - All'!L18,'M - All'!L21,'M - All'!L24,'M - All'!L27) / SUM('M - All'!M3,'M - All'!M6,'M - All'!M9,'M - All'!M12,'M - All'!M15,'M - All'!M18,'M - All'!M21,'M - All'!M24,'M - All'!M27)), 3)</f>
        <v>0.20499999999999999</v>
      </c>
      <c r="Z9" s="104">
        <f>ROUND((1 - SUM('M - All'!L4,'M - All'!L7,'M - All'!L10,'M - All'!L13,'M - All'!L16,'M - All'!L19,'M - All'!L22,'M - All'!L25,'M - All'!L28) / SUM('M - All'!M4,'M - All'!M7,'M - All'!M10,'M - All'!M13,'M - All'!M16,'M - All'!M19,'M - All'!M22,'M - All'!M25,'M - All'!M28)), 3)</f>
        <v>0.53500000000000003</v>
      </c>
      <c r="AA9" s="47">
        <f>'M - All'!P29</f>
        <v>2863676</v>
      </c>
      <c r="AB9" s="47">
        <f>'M - All'!Q29</f>
        <v>202194.86000000002</v>
      </c>
      <c r="AC9" s="47">
        <f>SUM('M - All'!Q2,'M - All'!Q5,'M - All'!Q8,'M - All'!Q11,'M - All'!Q14,'M - All'!Q17,'M - All'!Q20,'M - All'!Q23,'M - All'!Q26)</f>
        <v>28909.83</v>
      </c>
      <c r="AD9" s="47">
        <f>SUM('M - All'!Q3,'M - All'!Q6,'M - All'!Q9,'M - All'!Q12,'M - All'!Q15,'M - All'!Q18,'M - All'!Q21,'M - All'!Q24,'M - All'!Q27)</f>
        <v>173285.03</v>
      </c>
      <c r="AE9" s="47">
        <f>SUM('M - All'!Q4,'M - All'!Q7,'M - All'!Q10,'M - All'!Q13,'M - All'!Q16,'M - All'!Q19,'M - All'!Q22,'M - All'!Q25,'M - All'!Q28)</f>
        <v>0</v>
      </c>
      <c r="AF9" s="47">
        <f>'M - All'!R29</f>
        <v>2301976.6</v>
      </c>
      <c r="AG9" s="47">
        <f>'M - All'!S29</f>
        <v>2254893.15</v>
      </c>
      <c r="AH9" s="47">
        <f>'M - All'!T29</f>
        <v>2854819.3899999992</v>
      </c>
      <c r="AI9" s="47">
        <f>'M - All'!U29</f>
        <v>599926.24</v>
      </c>
      <c r="AJ9" s="104">
        <f>'M - All'!V29</f>
        <v>0.21</v>
      </c>
      <c r="AK9" s="104">
        <f>ROUND((1 - SUM('M - All'!S2,'M - All'!S5,'M - All'!S8,'M - All'!S11,'M - All'!S14,'M - All'!S17,'M - All'!S20,'M - All'!S23,'M - All'!S26) / SUM('M - All'!T2,'M - All'!T5,'M - All'!T8,'M - All'!T11,'M - All'!T14,'M - All'!T17,'M - All'!T20,'M - All'!T23,'M - All'!T26)), 3)</f>
        <v>0.36599999999999999</v>
      </c>
      <c r="AL9" s="104">
        <f>ROUND((1 - SUM('M - All'!S3,'M - All'!S6,'M - All'!S9,'M - All'!S12,'M - All'!S15,'M - All'!S18,'M - All'!S21,'M - All'!S24,'M - All'!S27) / SUM('M - All'!T3,'M - All'!T6,'M - All'!T9,'M - All'!T12,'M - All'!T15,'M - All'!T18,'M - All'!T21,'M - All'!T24,'M - All'!T27)), 3)</f>
        <v>0.20100000000000001</v>
      </c>
      <c r="AM9" s="129" t="e">
        <f>ROUND((1 - SUM('M - All'!S4,'M - All'!S7,'M - All'!S10,'M - All'!S13,'M - All'!S16,'M - All'!S19,'M - All'!S22,'M - All'!S25,'M - All'!S28) / SUM('M - All'!T4,'M - All'!T7,'M - All'!T10,'M - All'!T13,'M - All'!T16,'M - All'!T19,'M - All'!T22,,'M - All'!T25,'M - All'!T28)), 3)</f>
        <v>#DIV/0!</v>
      </c>
      <c r="AN9" s="141">
        <f>$C$9</f>
        <v>170328.25</v>
      </c>
      <c r="AO9" s="141"/>
      <c r="AP9" s="140"/>
    </row>
    <row r="10" spans="1:42" x14ac:dyDescent="0.25">
      <c r="A10" s="46" t="s">
        <v>28</v>
      </c>
      <c r="B10" s="55">
        <f>'M - Stock'!C17</f>
        <v>8.8309046151621331</v>
      </c>
      <c r="C10" s="47">
        <f>'M - Stock'!D17</f>
        <v>99334.459999999977</v>
      </c>
      <c r="D10" s="47">
        <f>SUM('M - Stock'!D2,'M - Stock'!D5,'M - Stock'!D8,'M - Stock'!D11,'M - Stock'!D14)</f>
        <v>28984.969999999998</v>
      </c>
      <c r="E10" s="47">
        <f>SUM('M - Stock'!D3,'M - Stock'!D6,'M - Stock'!D9,'M - Stock'!D12,'M - Stock'!D15)</f>
        <v>70349.490000000005</v>
      </c>
      <c r="F10" s="47">
        <f>SUM('M - Stock'!D4,'M - Stock'!D7,'M - Stock'!D10,'M - Stock'!D13,'M - Stock'!D16)</f>
        <v>0</v>
      </c>
      <c r="G10" s="47">
        <f>'M - Stock'!E17</f>
        <v>140079.39000000001</v>
      </c>
      <c r="H10" s="47">
        <f>'M - Stock'!F17</f>
        <v>134982.04</v>
      </c>
      <c r="I10" s="47">
        <f>'M - Stock'!G17</f>
        <v>218799.16999999998</v>
      </c>
      <c r="J10" s="47">
        <f>'M - Stock'!H17</f>
        <v>83817.12999999999</v>
      </c>
      <c r="K10" s="104">
        <f>'M - Stock'!I17</f>
        <v>0.38307791569776051</v>
      </c>
      <c r="L10" s="104">
        <f>ROUND((1 - SUM('M - Stock'!F2,'M - Stock'!F5,'M - Stock'!F8,'M - Stock'!F11,'M - Stock'!F14) / SUM('M - Stock'!G2,'M - Stock'!G5,'M - Stock'!G8,'M - Stock'!G11,'M - Stock'!G14)), 3)</f>
        <v>0.40500000000000003</v>
      </c>
      <c r="M10" s="104">
        <f>ROUND((1 - SUM('M - Stock'!F3,'M - Stock'!F6,'M - Stock'!F9,'M - Stock'!F12,'M - Stock'!F15) / SUM('M - Stock'!G3,'M - Stock'!G6,'M - Stock'!G9,'M - Stock'!G12,'M - Stock'!G15)), 3)</f>
        <v>0.36399999999999999</v>
      </c>
      <c r="N10" s="104" t="e">
        <f>ROUND((1 - SUM('M - Stock'!F4,'M - Stock'!F7,'M - Stock'!F10,'M - Stock'!F13,'M - Stock'!F16) / SUM('M - Stock'!G4,'M - Stock'!G7,'M - Stock'!G10,'M - Stock'!G13,'M - Stock'!G16)), 3)</f>
        <v>#DIV/0!</v>
      </c>
      <c r="O10" s="115">
        <f>'M - Stock'!J17</f>
        <v>105616.66</v>
      </c>
      <c r="P10" s="47">
        <f>SUM('M - Stock'!J2,'M - Stock'!J5,'M - Stock'!J8,'M - Stock'!J11,'M - Stock'!J14)</f>
        <v>28083.230000000003</v>
      </c>
      <c r="Q10" s="47">
        <f>SUM('M - Stock'!J3,'M - Stock'!J6,'M - Stock'!J9,'M - Stock'!J12,'M - Stock'!J15)</f>
        <v>77533.430000000008</v>
      </c>
      <c r="R10" s="47">
        <f>SUM('M - Stock'!J4,'M - Stock'!J7,'M - Stock'!J10,'M - Stock'!J13,'M - Stock'!J16)</f>
        <v>0</v>
      </c>
      <c r="S10" s="47">
        <f>'M - Stock'!K17</f>
        <v>128109.88</v>
      </c>
      <c r="T10" s="47">
        <f>'M - Stock'!L17</f>
        <v>136306.27000000002</v>
      </c>
      <c r="U10" s="47">
        <f>'M - Stock'!M17</f>
        <v>225015.69999999998</v>
      </c>
      <c r="V10" s="47">
        <f>'M - Stock'!N17</f>
        <v>88709.43</v>
      </c>
      <c r="W10" s="104">
        <f>'M - Stock'!O17</f>
        <v>0.39423662437776552</v>
      </c>
      <c r="X10" s="104">
        <f>ROUND((1 - SUM('M - Stock'!L2,'M - Stock'!L5,'M - Stock'!L8,'M - Stock'!L11,'M - Stock'!L14) / SUM('M - Stock'!M2,'M - Stock'!M5,'M - Stock'!M8,'M - Stock'!M11,'M - Stock'!M14)), 3)</f>
        <v>0.40400000000000003</v>
      </c>
      <c r="Y10" s="104">
        <f>ROUND((1 - SUM('M - Stock'!L3,'M - Stock'!L6,'M - Stock'!L9,'M - Stock'!L12,'M - Stock'!L15) / SUM('M - Stock'!M3,'M - Stock'!M6,'M - Stock'!M9,'M - Stock'!M12,'M - Stock'!M15)), 3)</f>
        <v>0.38700000000000001</v>
      </c>
      <c r="Z10" s="104">
        <f>ROUND((1 - SUM('M - Stock'!L4,'M - Stock'!L7,'M - Stock'!L10,'M - Stock'!L13,'M - Stock'!L16) / SUM('M - Stock'!M4,'M - Stock'!M7,'M - Stock'!M10,'M - Stock'!M13,'M - Stock'!M16)), 3)</f>
        <v>0.53500000000000003</v>
      </c>
      <c r="AA10" s="47">
        <f>'M - Stock'!P17</f>
        <v>218812</v>
      </c>
      <c r="AB10" s="47">
        <f>'M - Stock'!Q17</f>
        <v>112318.93000000001</v>
      </c>
      <c r="AC10" s="47">
        <f>SUM('M - Stock'!Q2,'M - Stock'!Q5,'M - Stock'!Q8,'M - Stock'!Q11,'M - Stock'!Q14)</f>
        <v>28527.29</v>
      </c>
      <c r="AD10" s="47">
        <f>SUM('M - Stock'!Q3,'M - Stock'!Q6,'M - Stock'!Q9,'M - Stock'!Q12,'M - Stock'!Q15)</f>
        <v>83791.640000000014</v>
      </c>
      <c r="AE10" s="47">
        <f>SUM('M - Stock'!Q4,'M - Stock'!Q7,'M - Stock'!Q10,'M - Stock'!Q13,'M - Stock'!Q16)</f>
        <v>0</v>
      </c>
      <c r="AF10" s="47">
        <f>'M - Stock'!R17</f>
        <v>320183.03000000003</v>
      </c>
      <c r="AG10" s="47">
        <f>'M - Stock'!S17</f>
        <v>158210.79999999999</v>
      </c>
      <c r="AH10" s="47">
        <f>'M - Stock'!T17</f>
        <v>260805.63</v>
      </c>
      <c r="AI10" s="47">
        <f>'M - Stock'!U17</f>
        <v>102594.83</v>
      </c>
      <c r="AJ10" s="104">
        <f>'M - Stock'!V17</f>
        <v>0.3933765923688074</v>
      </c>
      <c r="AK10" s="104">
        <f>ROUND((1 - SUM('M - Stock'!S2,'M - Stock'!S5,'M - Stock'!S8,'M - Stock'!S11,'M - Stock'!S14) / SUM('M - Stock'!T2,'M - Stock'!T5,'M - Stock'!T8,'M - Stock'!T11,'M - Stock'!T14)), 3)</f>
        <v>0.42799999999999999</v>
      </c>
      <c r="AL10" s="104">
        <f>ROUND((1 - SUM('M - Stock'!S3,'M - Stock'!S6,'M - Stock'!S9,'M - Stock'!S12,'M - Stock'!S15) / SUM('M - Stock'!T3,'M - Stock'!T6,'M - Stock'!T9,'M - Stock'!T12,'M - Stock'!T15)), 3)</f>
        <v>0.371</v>
      </c>
      <c r="AM10" s="129" t="e">
        <f>ROUND((1 - SUM('M - Stock'!S4,'M - Stock'!S7,'M - Stock'!S10,'M - Stock'!S13,'M - Stock'!S16) / SUM('M - Stock'!T4,'M - Stock'!T7,'M - Stock'!T10,'M - Stock'!T13,'M - Stock'!T16)), 3)</f>
        <v>#DIV/0!</v>
      </c>
      <c r="AO10" s="141"/>
      <c r="AP10" s="140"/>
    </row>
    <row r="11" spans="1:42" x14ac:dyDescent="0.25">
      <c r="A11" s="46" t="s">
        <v>29</v>
      </c>
      <c r="B11" s="55">
        <f>'M - SO'!C14</f>
        <v>0.4034146181663435</v>
      </c>
      <c r="C11" s="47">
        <f>'M - SO'!D14</f>
        <v>70993.789999999994</v>
      </c>
      <c r="D11" s="47">
        <f>SUM('M - SO'!D2,'M - SO'!D5,'M - SO'!D8,'M - SO'!D11)</f>
        <v>3787.0299999999997</v>
      </c>
      <c r="E11" s="47">
        <f>SUM('M - SO'!D3,'M - SO'!D6,'M - SO'!D9,'M - SO'!D12)</f>
        <v>67206.759999999995</v>
      </c>
      <c r="F11" s="47">
        <f>SUM('M - SO'!D4,'M - SO'!D7,'M - SO'!D10,'M - SO'!D13)</f>
        <v>0</v>
      </c>
      <c r="G11" s="47">
        <f>'M - SO'!E14</f>
        <v>2022445.4000000001</v>
      </c>
      <c r="H11" s="47">
        <f>'M - SO'!F14</f>
        <v>2111786.34</v>
      </c>
      <c r="I11" s="47">
        <f>'M - SO'!G14</f>
        <v>2644792.3700000006</v>
      </c>
      <c r="J11" s="47">
        <f>'M - SO'!H14</f>
        <v>533006.02999999991</v>
      </c>
      <c r="K11" s="104">
        <f>'M - SO'!I14</f>
        <v>0.20153038705265192</v>
      </c>
      <c r="L11" s="104">
        <f>ROUND((1 - SUM('M - SO'!F2,'M - SO'!F5,'M - SO'!F8,'M - SO'!F11) / SUM('M - SO'!G2,'M - SO'!G5,'M - SO'!G8,'M - SO'!G11)), 3)</f>
        <v>0.254</v>
      </c>
      <c r="M11" s="104">
        <f>ROUND((1 - SUM('M - SO'!F3,'M - SO'!F6,'M - SO'!F9,'M - SO'!F12) / SUM('M - SO'!G3,'M - SO'!G6,'M - SO'!G9,'M - SO'!G12)), 3)</f>
        <v>0.19900000000000001</v>
      </c>
      <c r="N11" s="104" t="e">
        <f>ROUND((1 - SUM('M - SO'!F4,'M - SO'!F7,'M - SO'!F10,'M - SO'!F13) / SUM('M - SO'!H4,'M - SO'!H7,'M - SO'!H10,'M - SO'!H13)), 3)</f>
        <v>#DIV/0!</v>
      </c>
      <c r="O11" s="115">
        <f>'M - SO'!J14</f>
        <v>169578.62000000002</v>
      </c>
      <c r="P11" s="47">
        <f>SUM('M - SO'!J2,'M - SO'!J5,'M - SO'!J8,'M - SO'!J11)</f>
        <v>528.52</v>
      </c>
      <c r="Q11" s="47">
        <f>SUM('M - SO'!J3,'M - SO'!J6,'M - SO'!J9,'M - SO'!J12)</f>
        <v>169050.1</v>
      </c>
      <c r="R11" s="47">
        <f>SUM('M - SO'!J4,'M - SO'!J7,'M - SO'!J10,'M - SO'!J13)</f>
        <v>0</v>
      </c>
      <c r="S11" s="47">
        <f>'M - SO'!K14</f>
        <v>2208590.89</v>
      </c>
      <c r="T11" s="47">
        <f>'M - SO'!L14</f>
        <v>2130772.5099999998</v>
      </c>
      <c r="U11" s="47">
        <f>'M - SO'!M14</f>
        <v>2653728.59</v>
      </c>
      <c r="V11" s="47">
        <f>'M - SO'!N14</f>
        <v>522956.07999999996</v>
      </c>
      <c r="W11" s="104">
        <f>'M - SO'!O14</f>
        <v>0.19706464405238977</v>
      </c>
      <c r="X11" s="104">
        <f>ROUND((1 - SUM('M - SO'!L2,'M - SO'!L5,'M - SO'!L8,'M - SO'!L11) / SUM('M - SO'!M2,'M - SO'!M5,'M - SO'!M8,'M - SO'!M11)), 3)</f>
        <v>0.247</v>
      </c>
      <c r="Y11" s="104">
        <f>ROUND((1 - SUM('M - SO'!L3,'M - SO'!L6,'M - SO'!L9,'M - SO'!L12) / SUM('M - SO'!M3,'M - SO'!M6,'M - SO'!M9,'M - SO'!M12)), 3)</f>
        <v>0.19600000000000001</v>
      </c>
      <c r="Z11" s="104" t="e">
        <f>ROUND((1 - SUM('M - SO'!L4,'M - SO'!L7,'M - SO'!L10,'M - SO'!L13) / SUM('M - SO'!M4,'M - SO'!M7,'M - SO'!M10,'M - SO'!M13)), 3)</f>
        <v>#DIV/0!</v>
      </c>
      <c r="AA11" s="47">
        <f>'M - SO'!P14</f>
        <v>2644864</v>
      </c>
      <c r="AB11" s="47">
        <f>'M - SO'!Q14</f>
        <v>89875.930000000008</v>
      </c>
      <c r="AC11" s="47">
        <f>SUM('M - SO'!Q2,'M - SO'!Q5,'M - SO'!Q8,'M - SO'!Q11)</f>
        <v>382.54</v>
      </c>
      <c r="AD11" s="47">
        <f>SUM('M - SO'!Q3,'M - SO'!Q6,'M - SO'!Q9,'M - SO'!Q12)</f>
        <v>89493.39</v>
      </c>
      <c r="AE11" s="47">
        <f>SUM('M - SO'!Q4,'M - SO'!Q7,'M - SO'!Q10,'M - SO'!Q13)</f>
        <v>0</v>
      </c>
      <c r="AF11" s="47">
        <f>'M - SO'!R14</f>
        <v>1981793.5699999998</v>
      </c>
      <c r="AG11" s="47">
        <f>'M - SO'!S14</f>
        <v>2096682.3499999999</v>
      </c>
      <c r="AH11" s="47">
        <f>'M - SO'!T14</f>
        <v>2594013.7599999998</v>
      </c>
      <c r="AI11" s="47">
        <f>'M - SO'!U14</f>
        <v>497331.41</v>
      </c>
      <c r="AJ11" s="104">
        <f>'M - SO'!V14</f>
        <v>0.1917227339611336</v>
      </c>
      <c r="AK11" s="104">
        <f>ROUND((1 - SUM('M - SO'!S2,'M - SO'!S5,'M - SO'!S8,'M - SO'!S11) / SUM('M - SO'!T2,'M - SO'!T5,'M - SO'!T8,'M - SO'!T11)), 3)</f>
        <v>0.248</v>
      </c>
      <c r="AL11" s="104">
        <f>ROUND((1 - SUM('M - SO'!S3,'M - SO'!S6,'M - SO'!S9,'M - SO'!S12) / SUM('M - SO'!T3,'M - SO'!T6,'M - SO'!T9,'M - SO'!T12)), 3)</f>
        <v>0.191</v>
      </c>
      <c r="AM11" s="129" t="e">
        <f>ROUND((1 - SUM('M - SO'!S4,'M - SO'!S7,'M - SO'!S10,'M - SO'!S13) / SUM('M - SO'!T4,'M - SO'!T7,'M - SO'!T10,'M - SO'!T13)), 3)</f>
        <v>#DIV/0!</v>
      </c>
      <c r="AO11" s="141"/>
      <c r="AP11" s="140"/>
    </row>
    <row r="12" spans="1:42" x14ac:dyDescent="0.25">
      <c r="A12" s="48" t="s">
        <v>30</v>
      </c>
      <c r="B12" s="56">
        <f>'HW - All'!C50</f>
        <v>5.9190793695547743</v>
      </c>
      <c r="C12" s="49">
        <f>'HW - All'!D50</f>
        <v>796976.03000000014</v>
      </c>
      <c r="D12" s="49">
        <f>SUM('HW - All'!D2,'HW - All'!D5,'HW - All'!D8,'HW - All'!D11,'HW - All'!D14,'HW - All'!D17,'HW - All'!D20,'HW - All'!D23,'HW - All'!D26,'HW - All'!D29,'HW - All'!D32,'HW - All'!D35,'HW - All'!D38,'HW - All'!D41,'HW - All'!D44,'HW - All'!D47)</f>
        <v>474021.49</v>
      </c>
      <c r="E12" s="49">
        <f>SUM('HW - All'!D3,'HW - All'!D6,'HW - All'!D9,'HW - All'!D12,'HW - All'!D15,'HW - All'!D18,'HW - All'!D21,'HW - All'!D24,'HW - All'!D27,'HW - All'!D30,'HW - All'!D33,'HW - All'!D36,'HW - All'!D39,'HW - All'!D42,'HW - All'!D45,'HW - All'!D48)</f>
        <v>321602.28000000003</v>
      </c>
      <c r="F12" s="49">
        <f>SUM('HW - All'!D4,'HW - All'!D7,'HW - All'!D10,'HW - All'!D13,'HW - All'!D16,'HW - All'!D19,'HW - All'!D22,'HW - All'!D25,'HW - All'!D28,'HW - All'!D31,'HW - All'!D34,'HW - All'!D37,'HW - All'!D40,'HW - All'!D43,'HW - All'!D46,'HW - All'!D49)</f>
        <v>1352.26</v>
      </c>
      <c r="G12" s="49">
        <f>'HW - All'!E50</f>
        <v>1630393.9399999997</v>
      </c>
      <c r="H12" s="49">
        <f>'HW - All'!F50</f>
        <v>1615743.22</v>
      </c>
      <c r="I12" s="49">
        <f>'HW - All'!G50</f>
        <v>2622468.649999999</v>
      </c>
      <c r="J12" s="49">
        <f>'HW - All'!H50</f>
        <v>1006725.4300000003</v>
      </c>
      <c r="K12" s="105">
        <f>'HW - All'!I50</f>
        <v>0.38400000000000001</v>
      </c>
      <c r="L12" s="105">
        <f>ROUND((1 - SUM('HW - All'!F2,'HW - All'!F5,'HW - All'!F8,'HW - All'!F11,'HW - All'!F14,'HW - All'!F17,'HW - All'!F20,'HW - All'!F23,'HW - All'!F26,'HW - All'!F29,'HW - All'!F32,'HW - All'!F35,'HW - All'!F38,'HW - All'!F41,'HW - All'!F44,'HW - All'!F47) / SUM('HW - All'!G2,'HW - All'!G5,'HW - All'!G8,'HW - All'!G11,'HW - All'!G14,'HW - All'!G17,'HW - All'!G20,'HW - All'!G23,'HW - All'!G26,'HW - All'!G29,'HW - All'!G32,'HW - All'!G35,'HW - All'!G38,'HW - All'!G41,'HW - All'!G44,'HW - All'!G47)), 3)</f>
        <v>0.39</v>
      </c>
      <c r="M12" s="105">
        <f>ROUND((1 - SUM('HW - All'!F3,'HW - All'!F6,'HW - All'!F9,'HW - All'!F12,'HW - All'!F15,'HW - All'!F18,'HW - All'!F21,'HW - All'!F24,'HW - All'!F27,'HW - All'!F30,'HW - All'!F33,'HW - All'!F36,'HW - All'!F39,'HW - All'!F42,'HW - All'!F45,'HW - All'!F48) / SUM('HW - All'!G3,'HW - All'!G6,'HW - All'!G9,'HW - All'!G12,'HW - All'!G15,'HW - All'!G18,'HW - All'!G21,'HW - All'!G24,'HW - All'!G27,'HW - All'!G30,'HW - All'!G33,'HW - All'!G36,'HW - All'!G39,'HW - All'!G42,'HW - All'!G45,'HW - All'!G48)), 3)</f>
        <v>0.35899999999999999</v>
      </c>
      <c r="N12" s="105">
        <f>ROUND((1 - SUM('HW - All'!F4,'HW - All'!F7,'HW - All'!F10,'HW - All'!F13,'HW - All'!F16,'HW - All'!F19,'HW - All'!F22,'HW - All'!F25,'HW - All'!F28,'HW - All'!F31,'HW - All'!F34,'HW - All'!F37,'HW - All'!F40,'HW - All'!F43,'HW - All'!F46,'HW - All'!F49) / SUM('HW - All'!G4,'HW - All'!G7,'HW - All'!G10,'HW - All'!G13,'HW - All'!G16,'HW - All'!G19,'HW - All'!G22,'HW - All'!G25,'HW - All'!G28,'HW - All'!G31,'HW - All'!G34,'HW - All'!G37,'HW - All'!G40,'HW - All'!G43,'HW - All'!G46,'HW - All'!G49)), 3)</f>
        <v>0.22500000000000001</v>
      </c>
      <c r="O12" s="116">
        <f>'HW - All'!J50</f>
        <v>709941.82999999984</v>
      </c>
      <c r="P12" s="49">
        <f>SUM('HW - All'!J2,'HW - All'!J5,'HW - All'!J8,'HW - All'!J11,'HW - All'!J14,'HW - All'!J17,'HW - All'!J20,'HW - All'!J23,'HW - All'!J26,'HW - All'!J29,'HW - All'!J32,'HW - All'!J35,'HW - All'!J38,'HW - All'!J41,'HW - All'!J44,'HW - All'!J47)</f>
        <v>434439.81</v>
      </c>
      <c r="Q12" s="49">
        <f>SUM('HW - All'!J3,'HW - All'!J6,'HW - All'!J9,'HW - All'!J12,'HW - All'!J15,'HW - All'!J18,'HW - All'!J21,'HW - All'!J24,'HW - All'!J27,'HW - All'!J30,'HW - All'!J33,'HW - All'!J36,'HW - All'!J39,'HW - All'!J42,'HW - All'!J45,'HW - All'!J48)</f>
        <v>270439.73999999993</v>
      </c>
      <c r="R12" s="49">
        <f>SUM('HW - All'!J4,'HW - All'!J7,'HW - All'!J10,'HW - All'!J13,'HW - All'!J16,'HW - All'!J19,'HW - All'!J22,'HW - All'!J25,'HW - All'!J28,'HW - All'!J31,'HW - All'!J34,'HW - All'!J37,'HW - All'!J40,'HW - All'!J43,'HW - All'!J46,'HW - All'!J49)</f>
        <v>5062.2800000000007</v>
      </c>
      <c r="S12" s="49">
        <f>'HW - All'!K50</f>
        <v>1652956.7</v>
      </c>
      <c r="T12" s="49">
        <f>'HW - All'!L50</f>
        <v>1585592.2799999998</v>
      </c>
      <c r="U12" s="49">
        <f>'HW - All'!M50</f>
        <v>2548880.5699999994</v>
      </c>
      <c r="V12" s="49">
        <f>'HW - All'!N50</f>
        <v>963288.29000000015</v>
      </c>
      <c r="W12" s="105">
        <f>'HW - All'!O50</f>
        <v>0.378</v>
      </c>
      <c r="X12" s="105">
        <f>ROUND((1 - SUM('HW - All'!L2,'HW - All'!L5,'HW - All'!L8,'HW - All'!L11,'HW - All'!L14,'HW - All'!L17,'HW - All'!L20,'HW - All'!L23,'HW - All'!L26,'HW - All'!L29,'HW - All'!L32,'HW - All'!L35,'HW - All'!L38,'HW - All'!L41,'HW - All'!L44,'HW - All'!L47) / SUM('HW - All'!M2,'HW - All'!M5,'HW - All'!M8,'HW - All'!M11,'HW - All'!M14,'HW - All'!M17,'HW - All'!M20,'HW - All'!M23,'HW - All'!M26,'HW - All'!M29,'HW - All'!M32,'HW - All'!M35,'HW - All'!M38,'HW - All'!M41,'HW - All'!M44,'HW - All'!M47)), 3)</f>
        <v>0.38500000000000001</v>
      </c>
      <c r="Y12" s="105">
        <f>ROUND((1 - SUM('HW - All'!L3,'HW - All'!L6,'HW - All'!L9,'HW - All'!L12,'HW - All'!L15,'HW - All'!L18,'HW - All'!L21,'HW - All'!L24,'HW - All'!L27,'HW - All'!L30,'HW - All'!L33,'HW - All'!L36,'HW - All'!L39,'HW - All'!L42,'HW - All'!L45,'HW - All'!L48) / SUM('HW - All'!M3,'HW - All'!M6,'HW - All'!M9,'HW - All'!M12,'HW - All'!M15,'HW - All'!M18,'HW - All'!M21,'HW - All'!M24,'HW - All'!M27,'HW - All'!M30,'HW - All'!M33,'HW - All'!M36,'HW - All'!M39,'HW - All'!M42,'HW - All'!M45,'HW - All'!M48)), 3)</f>
        <v>0.35</v>
      </c>
      <c r="Z12" s="105">
        <f>ROUND((1 - SUM('HW - All'!L4,'HW - All'!L7,'HW - All'!L10,'HW - All'!L13,'HW - All'!L16,'HW - All'!L19,'HW - All'!L22,'HW - All'!L25,'HW - All'!L28,'HW - All'!L31,'HW - All'!L34,'HW - All'!L37,'HW - All'!L40,'HW - All'!L43,'HW - All'!L46,'HW - All'!L49) / SUM('HW - All'!M4,'HW - All'!M7,'HW - All'!M10,'HW - All'!M13,'HW - All'!M16,'HW - All'!M19,'HW - All'!M22,'HW - All'!M25,'HW - All'!M28,'HW - All'!M31,'HW - All'!M34,'HW - All'!M37,'HW - All'!M40,'HW - All'!M43,'HW - All'!M46,'HW - All'!M49)), 3)</f>
        <v>0.26600000000000001</v>
      </c>
      <c r="AA12" s="49">
        <f>'HW - All'!P50</f>
        <v>2623342</v>
      </c>
      <c r="AB12" s="49">
        <f>'HW - All'!Q50</f>
        <v>595173.90999999992</v>
      </c>
      <c r="AC12" s="49">
        <f>SUM('HW - All'!Q2,'HW - All'!Q5,'HW - All'!Q8,'HW - All'!Q11,'HW - All'!Q14,'HW - All'!Q17,'HW - All'!Q20,'HW - All'!Q23,'HW - All'!Q26,'HW - All'!Q29,'HW - All'!Q32,'HW - All'!Q35,'HW - All'!Q38,'HW - All'!Q41,'HW - All'!Q44,'HW - All'!Q47)</f>
        <v>411084.79999999999</v>
      </c>
      <c r="AD12" s="49">
        <f>SUM('HW - All'!Q3,'HW - All'!Q6,'HW - All'!Q9,'HW - All'!Q12,'HW - All'!Q15,'HW - All'!Q18,'HW - All'!Q21,'HW - All'!Q24,'HW - All'!Q27,'HW - All'!Q30,'HW - All'!Q33,'HW - All'!Q36,'HW - All'!Q39,'HW - All'!Q42,'HW - All'!Q45,'HW - All'!Q48)</f>
        <v>184089.11</v>
      </c>
      <c r="AE12" s="49">
        <f>SUM('HW - All'!Q4,'HW - All'!Q7,'HW - All'!Q10,'HW - All'!Q13,'HW - All'!Q16,'HW - All'!Q19,'HW - All'!Q22,'HW - All'!Q25,'HW - All'!Q28,'HW - All'!Q31,'HW - All'!Q34,'HW - All'!Q37,'HW - All'!Q40,'HW - All'!Q43,'HW - All'!Q46,'HW - All'!Q49)</f>
        <v>0</v>
      </c>
      <c r="AF12" s="49">
        <f>'HW - All'!R50</f>
        <v>1580433.4700000002</v>
      </c>
      <c r="AG12" s="49">
        <f>'HW - All'!S50</f>
        <v>1613095.4999999998</v>
      </c>
      <c r="AH12" s="49">
        <f>'HW - All'!T50</f>
        <v>2610471.7400000007</v>
      </c>
      <c r="AI12" s="49">
        <f>'HW - All'!U50</f>
        <v>997376.24</v>
      </c>
      <c r="AJ12" s="105">
        <f>'HW - All'!V50</f>
        <v>0.38200000000000001</v>
      </c>
      <c r="AK12" s="105">
        <f>ROUND((1 - SUM('HW - All'!S2,'HW - All'!S5,'HW - All'!S8,'HW - All'!S11,'HW - All'!S14,'HW - All'!S17,'HW - All'!S20,'HW - All'!S23,'HW - All'!S26,'HW - All'!S29,'HW - All'!S32,'HW - All'!S35,'HW - All'!S38,'HW - All'!S41,'HW - All'!S44,'HW - All'!S47) / SUM('HW - All'!T2,'HW - All'!T5,'HW - All'!T8,'HW - All'!T11,'HW - All'!T14,'HW - All'!T17,'HW - All'!T20,'HW - All'!T23,'HW - All'!T26,'HW - All'!T29,'HW - All'!T32,'HW - All'!T35,'HW - All'!T38,'HW - All'!T41,'HW - All'!T44,'HW - All'!T47)), 3)</f>
        <v>0.38700000000000001</v>
      </c>
      <c r="AL12" s="105">
        <f>ROUND((1 - SUM('HW - All'!S3,'HW - All'!S6,'HW - All'!S9,'HW - All'!S12,'HW - All'!S15,'HW - All'!S18,'HW - All'!S21,'HW - All'!S24,'HW - All'!S27,'HW - All'!S30,'HW - All'!S33,'HW - All'!S36,'HW - All'!S39,'HW - All'!S42,'HW - All'!S45,'HW - All'!S48) / SUM('HW - All'!T3,'HW - All'!T6,'HW - All'!T9,'HW - All'!T12,'HW - All'!T15,'HW - All'!T18,'HW - All'!T21,'HW - All'!T24,'HW - All'!T27,'HW - All'!T30,'HW - All'!T33,'HW - All'!T36,'HW - All'!T39,'HW - All'!T42,'HW - All'!T45,'HW - All'!T48)), 3)</f>
        <v>0.36</v>
      </c>
      <c r="AM12" s="130" t="e">
        <f>ROUND((1 - SUM('HW - All'!S4,'HW - All'!S7,'HW - All'!S10,'HW - All'!S13,'HW - All'!S16,'HW - All'!S19,'HW - All'!S22,'HW - All'!S25,'HW - All'!S28,'HW - All'!S31,'HW - All'!S34,'HW - All'!S37,'HW - All'!S40,'HW - All'!S43,'HW - All'!S46,'HW - All'!S49) / SUM('HW - All'!T4,'HW - All'!T7,'HW - All'!T10,'HW - All'!T13,'HW - All'!T16,'HW - All'!T19,'HW - All'!T22,'HW - All'!T25,'HW - All'!T28,'HW - All'!T31,'HW - All'!T34,'HW - All'!T37,'HW - All'!T40,'HW - All'!T43,'HW - All'!T46,'HW - All'!T49)), 3)</f>
        <v>#DIV/0!</v>
      </c>
      <c r="AN12" s="141">
        <f>$C$12</f>
        <v>796976.03000000014</v>
      </c>
      <c r="AO12" s="141">
        <v>641000</v>
      </c>
      <c r="AP12" s="144">
        <f>SUM(AN12-AO12)</f>
        <v>155976.03000000014</v>
      </c>
    </row>
    <row r="13" spans="1:42" x14ac:dyDescent="0.25">
      <c r="A13" s="48" t="s">
        <v>31</v>
      </c>
      <c r="B13" s="56">
        <f>'HW - Stock'!C47</f>
        <v>6.5183271888056336</v>
      </c>
      <c r="C13" s="49">
        <f>'HW - Stock'!D47</f>
        <v>788413.70000000019</v>
      </c>
      <c r="D13" s="49">
        <f>SUM('HW - Stock'!D2,'HW - Stock'!D5,'HW - Stock'!D8,'HW - Stock'!D11,'HW - Stock'!D14,'HW - Stock'!D17,'HW - Stock'!D20,'HW - Stock'!D23,'HW - Stock'!D26,'HW - Stock'!D29,'HW - Stock'!D32,'HW - Stock'!D35,'HW - Stock'!D38,'HW - Stock'!D41,'HW - Stock'!D44)</f>
        <v>465594.5</v>
      </c>
      <c r="E13" s="49">
        <f>SUM('HW - Stock'!D3,'HW - Stock'!D6,'HW - Stock'!D9,'HW - Stock'!D12,'HW - Stock'!D15,'HW - Stock'!D18,'HW - Stock'!D21,'HW - Stock'!D24,'HW - Stock'!D27,'HW - Stock'!D30,'HW - Stock'!D33,'HW - Stock'!D36,'HW - Stock'!D39,'HW - Stock'!D42,'HW - Stock'!D45)</f>
        <v>321466.94</v>
      </c>
      <c r="F13" s="49">
        <f>SUM('HW - Stock'!D4,'HW - Stock'!D7,'HW - Stock'!D10,'HW - Stock'!D13,'HW - Stock'!D16,'HW - Stock'!D19,'HW - Stock'!D22,'HW - Stock'!D25,'HW - Stock'!D28,'HW - Stock'!D31,'HW - Stock'!D34,'HW - Stock'!D37,'HW - Stock'!D40,'HW - Stock'!D43,'HW - Stock'!D46)</f>
        <v>1352.26</v>
      </c>
      <c r="G13" s="49">
        <f>'HW - Stock'!E47</f>
        <v>1466834.2099999997</v>
      </c>
      <c r="H13" s="49">
        <f>'HW - Stock'!F47</f>
        <v>1451440.55</v>
      </c>
      <c r="I13" s="49">
        <f>'HW - Stock'!G47</f>
        <v>2385384.9799999991</v>
      </c>
      <c r="J13" s="49">
        <f>'HW - Stock'!H47</f>
        <v>933944.43000000028</v>
      </c>
      <c r="K13" s="105">
        <f>'HW - Stock'!I47</f>
        <v>0.3915277566642511</v>
      </c>
      <c r="L13" s="105">
        <f>ROUND((1 - SUM('HW - Stock'!F2,'HW - Stock'!F5,'HW - Stock'!F8,'HW - Stock'!F11,'HW - Stock'!F14,'HW - Stock'!F17,'HW - Stock'!F20,'HW - Stock'!F23,'HW - Stock'!F26,'HW - Stock'!F29,'HW - Stock'!F32,'HW - Stock'!F35,'HW - Stock'!F38,'HW - Stock'!F41,'HW - Stock'!F44) / SUM('HW - Stock'!G2,'HW - Stock'!G5,'HW - Stock'!G8,'HW - Stock'!G11,'HW - Stock'!G14,'HW - Stock'!G17,'HW - Stock'!G20,'HW - Stock'!G23,'HW - Stock'!G26,'HW - Stock'!G29,'HW - Stock'!G32,'HW - Stock'!G35,'HW - Stock'!G38,'HW - Stock'!G41,'HW - Stock'!G44)), 3)</f>
        <v>0.39800000000000002</v>
      </c>
      <c r="M13" s="105">
        <f>ROUND((1 - SUM('HW - Stock'!F3,'HW - Stock'!F6,'HW - Stock'!F9,'HW - Stock'!F12,'HW - Stock'!F15,'HW - Stock'!F18,'HW - Stock'!F21,'HW - Stock'!F24,'HW - Stock'!F27,'HW - Stock'!F30,'HW - Stock'!F33,'HW - Stock'!F36,'HW - Stock'!F39,'HW - Stock'!F42,'HW - Stock'!F45) / SUM('HW - Stock'!G3,'HW - Stock'!G6,'HW - Stock'!G9,'HW - Stock'!G12,'HW - Stock'!G15,'HW - Stock'!G18,'HW - Stock'!G21,'HW - Stock'!G24,'HW - Stock'!G27,'HW - Stock'!G30,'HW - Stock'!G33,'HW - Stock'!G36,'HW - Stock'!G39,'HW - Stock'!G42,'HW - Stock'!G45)), 3)</f>
        <v>0.36499999999999999</v>
      </c>
      <c r="N13" s="105">
        <f>ROUND((1 - SUM('HW - Stock'!F4,'HW - Stock'!F7,'HW - Stock'!F10,'HW - Stock'!F13,'HW - Stock'!F16,'HW - Stock'!F19,'HW - Stock'!F22,'HW - Stock'!F25,'HW - Stock'!F28,'HW - Stock'!F31,'HW - Stock'!F34,'HW - Stock'!F37,'HW - Stock'!F40,'HW - Stock'!F43,'HW - Stock'!F46) / SUM('HW - Stock'!G4,'HW - Stock'!G7,'HW - Stock'!G10,'HW - Stock'!G13,'HW - Stock'!G16,'HW - Stock'!G19,'HW - Stock'!G22,'HW - Stock'!G25,'HW - Stock'!G28,'HW - Stock'!G31,'HW - Stock'!G34,'HW - Stock'!G37,'HW - Stock'!G40,'HW - Stock'!G43,'HW - Stock'!G46)), 3)</f>
        <v>0.22500000000000001</v>
      </c>
      <c r="O13" s="116">
        <f>'HW - Stock'!J47</f>
        <v>709647.15999999992</v>
      </c>
      <c r="P13" s="49">
        <f>SUM('HW - Stock'!J2,'HW - Stock'!J5,'HW - Stock'!J8,'HW - Stock'!J11,'HW - Stock'!J14,'HW - Stock'!J17,'HW - Stock'!J20,'HW - Stock'!J23,'HW - Stock'!J26,'HW - Stock'!J29,'HW - Stock'!J32,'HW - Stock'!J35,'HW - Stock'!J38,'HW - Stock'!J41,'HW - Stock'!J44)</f>
        <v>434476.58</v>
      </c>
      <c r="Q13" s="49">
        <f>SUM('HW - Stock'!J3,'HW - Stock'!J6,'HW - Stock'!J9,'HW - Stock'!J12,'HW - Stock'!J15,'HW - Stock'!J18,'HW - Stock'!J21,'HW - Stock'!J24,'HW - Stock'!J27,'HW - Stock'!J30,'HW - Stock'!J33,'HW - Stock'!J36,'HW - Stock'!J39,'HW - Stock'!J42,'HW - Stock'!J45)</f>
        <v>270108.29999999993</v>
      </c>
      <c r="R13" s="49">
        <f>SUM('HW - Stock'!J4,'HW - Stock'!J7,'HW - Stock'!J10,'HW - Stock'!J13,'HW - Stock'!J16,'HW - Stock'!J19,'HW - Stock'!J22,'HW - Stock'!J25,'HW - Stock'!J28,'HW - Stock'!J31,'HW - Stock'!J34,'HW - Stock'!J37,'HW - Stock'!J40,'HW - Stock'!J43,'HW - Stock'!J46)</f>
        <v>5062.2800000000007</v>
      </c>
      <c r="S13" s="49">
        <f>'HW - Stock'!K47</f>
        <v>1525068.6300000001</v>
      </c>
      <c r="T13" s="49">
        <f>'HW - Stock'!L47</f>
        <v>1449085.3599999999</v>
      </c>
      <c r="U13" s="49">
        <f>'HW - Stock'!M47</f>
        <v>2357736.2999999993</v>
      </c>
      <c r="V13" s="49">
        <f>'HW - Stock'!N47</f>
        <v>908650.94000000018</v>
      </c>
      <c r="W13" s="105">
        <f>'HW - Stock'!O47</f>
        <v>0.38539125007321628</v>
      </c>
      <c r="X13" s="105">
        <f>ROUND((1 - SUM('HW - Stock'!L2,'HW - Stock'!L5,'HW - Stock'!L8,'HW - Stock'!L11,'HW - Stock'!L14,'HW - Stock'!L17,'HW - Stock'!L20,'HW - Stock'!L23,'HW - Stock'!L26,'HW - Stock'!L29,'HW - Stock'!L32,'HW - Stock'!L35,'HW - Stock'!L38,'HW - Stock'!L41,'HW - Stock'!L44) / SUM('HW - Stock'!M2,'HW - Stock'!M5,'HW - Stock'!M8,'HW - Stock'!M11,'HW - Stock'!M14,'HW - Stock'!M17,'HW - Stock'!M20,'HW - Stock'!M23,'HW - Stock'!M26,'HW - Stock'!M29,'HW - Stock'!M32,'HW - Stock'!M35,'HW - Stock'!M38,'HW - Stock'!M41,'HW - Stock'!M44)), 3)</f>
        <v>0.39200000000000002</v>
      </c>
      <c r="Y13" s="105">
        <f>ROUND((1 - SUM('HW - Stock'!L3,'HW - Stock'!L6,'HW - Stock'!L9,'HW - Stock'!L12,'HW - Stock'!L15,'HW - Stock'!L18,'HW - Stock'!L21,'HW - Stock'!L24,'HW - Stock'!L27,'HW - Stock'!L30,'HW - Stock'!L33,'HW - Stock'!L36,'HW - Stock'!L39,'HW - Stock'!L42,'HW - Stock'!L45) / SUM('HW - Stock'!M3,'HW - Stock'!M6,'HW - Stock'!M9,'HW - Stock'!M12,'HW - Stock'!M15,'HW - Stock'!M18,'HW - Stock'!M21,'HW - Stock'!M24,'HW - Stock'!M27,'HW - Stock'!M30,'HW - Stock'!M33,'HW - Stock'!M36,'HW - Stock'!M39,'HW - Stock'!M42,'HW - Stock'!M45)), 3)</f>
        <v>0.36099999999999999</v>
      </c>
      <c r="Z13" s="105">
        <f>ROUND((1 - SUM('HW - Stock'!L4,'HW - Stock'!L7,'HW - Stock'!L10,'HW - Stock'!L13,'HW - Stock'!L16,'HW - Stock'!L19,'HW - Stock'!L22,'HW - Stock'!L25,'HW - Stock'!L28,'HW - Stock'!L31,'HW - Stock'!L34,'HW - Stock'!L37,'HW - Stock'!L40,'HW - Stock'!L43,'HW - Stock'!L46) / SUM('HW - Stock'!M4,'HW - Stock'!M7,'HW - Stock'!M10,'HW - Stock'!M13,'HW - Stock'!M16,'HW - Stock'!M19,'HW - Stock'!M22,'HW - Stock'!M25,'HW - Stock'!M28,'HW - Stock'!M31,'HW - Stock'!M34,'HW - Stock'!M37,'HW - Stock'!M40,'HW - Stock'!M43,'HW - Stock'!M46)), 3)</f>
        <v>0.26600000000000001</v>
      </c>
      <c r="AA13" s="49">
        <f>'HW - Stock'!P47</f>
        <v>2386219</v>
      </c>
      <c r="AB13" s="49">
        <f>'HW - Stock'!Q47</f>
        <v>595053.6399999999</v>
      </c>
      <c r="AC13" s="49">
        <f>SUM('HW - Stock'!Q2,'HW - Stock'!Q5,'HW - Stock'!Q8,'HW - Stock'!Q11,'HW - Stock'!Q14,'HW - Stock'!Q17,'HW - Stock'!Q20,'HW - Stock'!Q23,'HW - Stock'!Q26,'HW - Stock'!Q29,'HW - Stock'!Q32,'HW - Stock'!Q35,'HW - Stock'!Q38,'HW - Stock'!Q41,'HW - Stock'!Q44)</f>
        <v>411361.13</v>
      </c>
      <c r="AD13" s="49">
        <f>SUM('HW - Stock'!Q3,'HW - Stock'!Q6,'HW - Stock'!Q9,'HW - Stock'!Q12,'HW - Stock'!Q15,'HW - Stock'!Q18,'HW - Stock'!Q21,'HW - Stock'!Q24,'HW - Stock'!Q27,'HW - Stock'!Q30,'HW - Stock'!Q33,'HW - Stock'!Q36,'HW - Stock'!Q39,'HW - Stock'!Q42,'HW - Stock'!Q45)</f>
        <v>183692.50999999998</v>
      </c>
      <c r="AE13" s="49">
        <f>SUM('HW - Stock'!Q4,'HW - Stock'!Q7,'HW - Stock'!Q10,'HW - Stock'!Q13,'HW - Stock'!Q16,'HW - Stock'!Q19,'HW - Stock'!Q22,'HW - Stock'!Q25,'HW - Stock'!Q28,'HW - Stock'!Q31,'HW - Stock'!Q34,'HW - Stock'!Q37,'HW - Stock'!Q40,'HW - Stock'!Q43,'HW - Stock'!Q46)</f>
        <v>0</v>
      </c>
      <c r="AF13" s="49">
        <f>'HW - Stock'!R47</f>
        <v>1446485.3300000003</v>
      </c>
      <c r="AG13" s="49">
        <f>'HW - Stock'!S47</f>
        <v>1478714.0499999998</v>
      </c>
      <c r="AH13" s="49">
        <f>'HW - Stock'!T47</f>
        <v>2415711.4300000006</v>
      </c>
      <c r="AI13" s="49">
        <f>'HW - Stock'!U47</f>
        <v>936997.37999999989</v>
      </c>
      <c r="AJ13" s="105">
        <f>'HW - Stock'!V47</f>
        <v>0.38787636981955276</v>
      </c>
      <c r="AK13" s="105">
        <f>ROUND((1 - SUM('HW - Stock'!S2,'HW - Stock'!S5,'HW - Stock'!S8,'HW - Stock'!S11,'HW - Stock'!S14,'HW - Stock'!S17,'HW - Stock'!S20,'HW - Stock'!S23,'HW - Stock'!S26,'HW - Stock'!S29,'HW - Stock'!S32,'HW - Stock'!S35,'HW - Stock'!S38,'HW - Stock'!S41,'HW - Stock'!S44) / SUM('HW - Stock'!T2,'HW - Stock'!T5,'HW - Stock'!T8,'HW - Stock'!T11,'HW - Stock'!T14,'HW - Stock'!T17,'HW - Stock'!T20,'HW - Stock'!T23,'HW - Stock'!T26,'HW - Stock'!T29,'HW - Stock'!T32,'HW - Stock'!T35,'HW - Stock'!T38,'HW - Stock'!T41,'HW - Stock'!T44)), 3)</f>
        <v>0.39300000000000002</v>
      </c>
      <c r="AL13" s="105">
        <f>ROUND((1 - SUM('HW - Stock'!S3,'HW - Stock'!S6,'HW - Stock'!S9,'HW - Stock'!S12,'HW - Stock'!S15,'HW - Stock'!S18,'HW - Stock'!S21,'HW - Stock'!S24,'HW - Stock'!S27,'HW - Stock'!S30,'HW - Stock'!S33,'HW - Stock'!S36,'HW - Stock'!S39,'HW - Stock'!S42,'HW - Stock'!S45) / SUM('HW - Stock'!T3,'HW - Stock'!T6,'HW - Stock'!T9,'HW - Stock'!T12,'HW - Stock'!T15,'HW - Stock'!T18,'HW - Stock'!T21,'HW - Stock'!T24,'HW - Stock'!T27,'HW - Stock'!T30,'HW - Stock'!T33,'HW - Stock'!T36,'HW - Stock'!T39,'HW - Stock'!T42,'HW - Stock'!T45)), 3)</f>
        <v>0.36699999999999999</v>
      </c>
      <c r="AM13" s="130" t="e">
        <f>ROUND((1 - SUM('HW - Stock'!S4,'HW - Stock'!S7,'HW - Stock'!S10,'HW - Stock'!S13,'HW - Stock'!S16,'HW - Stock'!S19,'HW - Stock'!S22,'HW - Stock'!S25,'HW - Stock'!S28,'HW - Stock'!S31,'HW - Stock'!S34,'HW - Stock'!S37,'HW - Stock'!S40,'HW - Stock'!S43,'HW - Stock'!S46) / SUM('HW - Stock'!T4,'HW - Stock'!T7,'HW - Stock'!T10,'HW - Stock'!T13,'HW - Stock'!T16,'HW - Stock'!T19,'HW - Stock'!T22,'HW - Stock'!T25,'HW - Stock'!T28,'HW - Stock'!T31,'HW - Stock'!T34,'HW - Stock'!T37,'HW - Stock'!T40,'HW - Stock'!T43,'HW - Stock'!T46)), 3)</f>
        <v>#DIV/0!</v>
      </c>
      <c r="AO13" s="141"/>
      <c r="AP13" s="140"/>
    </row>
    <row r="14" spans="1:42" x14ac:dyDescent="0.25">
      <c r="A14" s="48" t="s">
        <v>32</v>
      </c>
      <c r="B14" s="56">
        <f>'HW - SO'!C5</f>
        <v>0.62535782285217878</v>
      </c>
      <c r="C14" s="49">
        <f>'HW - SO'!D5</f>
        <v>8562.33</v>
      </c>
      <c r="D14" s="49">
        <f>SUM('HW - SO'!D2)</f>
        <v>8426.99</v>
      </c>
      <c r="E14" s="49">
        <f>SUM('HW - SO'!D3)</f>
        <v>135.34</v>
      </c>
      <c r="F14" s="49">
        <f>SUM('HW - SO'!D4)</f>
        <v>0</v>
      </c>
      <c r="G14" s="49">
        <f>'HW - SO'!E5</f>
        <v>163559.73000000001</v>
      </c>
      <c r="H14" s="49">
        <f>'HW - SO'!F5</f>
        <v>164302.67000000001</v>
      </c>
      <c r="I14" s="49">
        <f>'HW - SO'!G5</f>
        <v>237083.66999999998</v>
      </c>
      <c r="J14" s="49">
        <f>'HW - SO'!H5</f>
        <v>72781</v>
      </c>
      <c r="K14" s="105">
        <f>'HW - SO'!I5</f>
        <v>0.30698444983578999</v>
      </c>
      <c r="L14" s="105">
        <f>ROUND((1 - SUM('HW - SO'!F2) / SUM('HW - SO'!G2)), 3)</f>
        <v>0.312</v>
      </c>
      <c r="M14" s="105">
        <f>ROUND((1 - SUM('HW - SO'!F3) / SUM('HW - SO'!G3)), 3)</f>
        <v>0.27</v>
      </c>
      <c r="N14" s="105" t="e">
        <f>ROUND((1 - SUM('HW - SO'!F4) / SUM('HW - SO'!G4)), 3)</f>
        <v>#DIV/0!</v>
      </c>
      <c r="O14" s="116">
        <f>'HW - SO'!J5</f>
        <v>294.67</v>
      </c>
      <c r="P14" s="49">
        <f>SUM('HW - SO'!J2)</f>
        <v>-36.770000000000003</v>
      </c>
      <c r="Q14" s="49">
        <f>SUM('HW - SO'!J3)</f>
        <v>331.44</v>
      </c>
      <c r="R14" s="49">
        <f>SUM('HW - SO'!J4)</f>
        <v>0</v>
      </c>
      <c r="S14" s="49">
        <f>'HW - SO'!K5</f>
        <v>127888.06999999999</v>
      </c>
      <c r="T14" s="49">
        <f>'HW - SO'!L5</f>
        <v>136506.91999999998</v>
      </c>
      <c r="U14" s="49">
        <f>'HW - SO'!M5</f>
        <v>191144.27000000002</v>
      </c>
      <c r="V14" s="49">
        <f>'HW - SO'!N5</f>
        <v>54637.350000000006</v>
      </c>
      <c r="W14" s="105">
        <f>'HW - SO'!O5</f>
        <v>0.28584351495339111</v>
      </c>
      <c r="X14" s="105">
        <f>ROUND((1 - SUM('HW - SO'!L2) / SUM('HW - SO'!M2)), 3)</f>
        <v>0.30399999999999999</v>
      </c>
      <c r="Y14" s="105">
        <f>ROUND((1 - SUM('HW - SO'!L3) / SUM('HW - SO'!M3)), 3)</f>
        <v>0.21099999999999999</v>
      </c>
      <c r="Z14" s="105">
        <f>ROUND((1 - SUM('HW - SO'!L4) / SUM('HW - SO'!M4)), 3)</f>
        <v>0.25900000000000001</v>
      </c>
      <c r="AA14" s="49">
        <f>'HW - SO'!P5</f>
        <v>237123</v>
      </c>
      <c r="AB14" s="49">
        <f>'HW - SO'!Q5</f>
        <v>120.27000000000004</v>
      </c>
      <c r="AC14" s="49">
        <f>SUM('HW - SO'!Q2)</f>
        <v>-276.33</v>
      </c>
      <c r="AD14" s="49">
        <f>SUM('HW - SO'!Q3)</f>
        <v>396.6</v>
      </c>
      <c r="AE14" s="49">
        <f>SUM('HW - SO'!Q4)</f>
        <v>0</v>
      </c>
      <c r="AF14" s="49">
        <f>'HW - SO'!R5</f>
        <v>133948.14000000001</v>
      </c>
      <c r="AG14" s="49">
        <f>'HW - SO'!S5</f>
        <v>134381.45000000001</v>
      </c>
      <c r="AH14" s="49">
        <f>'HW - SO'!T5</f>
        <v>194760.31</v>
      </c>
      <c r="AI14" s="49">
        <f>'HW - SO'!U5</f>
        <v>60378.86</v>
      </c>
      <c r="AJ14" s="105">
        <f>'HW - SO'!V5</f>
        <v>0.31001624509634429</v>
      </c>
      <c r="AK14" s="105">
        <f>ROUND((1 - SUM('HW - SO'!S2) / SUM('HW - SO'!T2)), 3)</f>
        <v>0.32300000000000001</v>
      </c>
      <c r="AL14" s="105">
        <f>ROUND((1 - SUM('HW - SO'!S3) / SUM('HW - SO'!T3)), 3)</f>
        <v>0.217</v>
      </c>
      <c r="AM14" s="130" t="e">
        <f>ROUND((1 - SUM('HW - SO'!S4) / SUM('HW - SO'!T4)), 3)</f>
        <v>#DIV/0!</v>
      </c>
      <c r="AO14" s="141"/>
      <c r="AP14" s="140"/>
    </row>
    <row r="15" spans="1:42" x14ac:dyDescent="0.25">
      <c r="A15" s="50" t="s">
        <v>33</v>
      </c>
      <c r="B15" s="57">
        <f>'P - All'!C11</f>
        <v>3.406609263738515</v>
      </c>
      <c r="C15" s="51">
        <f>'P - All'!D12</f>
        <v>367255.09</v>
      </c>
      <c r="D15" s="51">
        <f>SUM('P - All'!D2,'P - All'!D8)</f>
        <v>242313.56</v>
      </c>
      <c r="E15" s="51">
        <f>SUM('P - All'!D3,'P - All'!D9)</f>
        <v>15324.61</v>
      </c>
      <c r="F15" s="51">
        <f>SUM('P - All'!D4,'P - All'!D10)</f>
        <v>108565.33</v>
      </c>
      <c r="G15" s="51">
        <f>'P - All'!E12</f>
        <v>1276614.93</v>
      </c>
      <c r="H15" s="51">
        <f>'P - All'!F12</f>
        <v>1250057.53</v>
      </c>
      <c r="I15" s="51">
        <f>'P - All'!G12</f>
        <v>1804235.26</v>
      </c>
      <c r="J15" s="51">
        <f>'P - All'!H12</f>
        <v>554177.73</v>
      </c>
      <c r="K15" s="106">
        <f>'P - All'!I12</f>
        <v>0.307</v>
      </c>
      <c r="L15" s="106">
        <f>ROUND((1 - SUM('P - All'!F2,'P - All'!F8) / SUM('P - All'!G2,'P - All'!G8)), 3)</f>
        <v>0.29099999999999998</v>
      </c>
      <c r="M15" s="106">
        <f>ROUND((1 - SUM('P - All'!F3,'P - All'!F9) / SUM('P - All'!G3,'P - All'!G9)), 3)</f>
        <v>0.36299999999999999</v>
      </c>
      <c r="N15" s="106">
        <f>ROUND((1 - SUM('P - All'!F4,'P - All'!F10) / SUM('P - All'!G4,'P - All'!G10)), 3)</f>
        <v>0.25700000000000001</v>
      </c>
      <c r="O15" s="117">
        <f>'P - All'!J12</f>
        <v>378157.52</v>
      </c>
      <c r="P15" s="51">
        <f>SUM('P - All'!J2,'P - All'!J8)</f>
        <v>251855.15</v>
      </c>
      <c r="Q15" s="51">
        <f>SUM('P - All'!J3,'P - All'!J9)</f>
        <v>24551.599999999999</v>
      </c>
      <c r="R15" s="51">
        <f>SUM('P - All'!J4,'P - All'!J10)</f>
        <v>101820.42</v>
      </c>
      <c r="S15" s="51">
        <f>'P - All'!K12</f>
        <v>1168573.9600000002</v>
      </c>
      <c r="T15" s="51">
        <f>'P - All'!L12</f>
        <v>1097034.1200000003</v>
      </c>
      <c r="U15" s="51">
        <f>'P - All'!M12</f>
        <v>1567108.6500000001</v>
      </c>
      <c r="V15" s="51">
        <f>'P - All'!N12</f>
        <v>470074.52999999997</v>
      </c>
      <c r="W15" s="106">
        <f>'P - All'!O12</f>
        <v>0.3</v>
      </c>
      <c r="X15" s="106">
        <f>ROUND((1 - SUM('P - All'!L2,'P - All'!L8) / SUM('P - All'!M2,'P - All'!M8)), 3)</f>
        <v>0.29799999999999999</v>
      </c>
      <c r="Y15" s="106">
        <f>ROUND((1 - SUM('P - All'!L3,'P - All'!L9) / SUM('P - All'!M3,'P - All'!M9)), 3)</f>
        <v>0.33900000000000002</v>
      </c>
      <c r="Z15" s="106">
        <f>ROUND((1 - SUM('P - All'!L4,'P - All'!L10) / SUM('P - All'!M4,'P - All'!M10)), 3)</f>
        <v>0.29799999999999999</v>
      </c>
      <c r="AA15" s="51">
        <f>'P - All'!P12</f>
        <v>1804276</v>
      </c>
      <c r="AB15" s="51">
        <f>'P - All'!Q12</f>
        <v>288426.12</v>
      </c>
      <c r="AC15" s="51">
        <f>SUM('P - All'!Q2,'P - All'!Q8)</f>
        <v>215453.17</v>
      </c>
      <c r="AD15" s="51">
        <f>SUM('P - All'!Q3,'P - All'!Q9)</f>
        <v>72972.95</v>
      </c>
      <c r="AE15" s="51">
        <f>SUM('P - All'!Q4,'P - All'!Q10)</f>
        <v>0</v>
      </c>
      <c r="AF15" s="51">
        <f>'P - All'!R12</f>
        <v>1081235.9600000002</v>
      </c>
      <c r="AG15" s="51">
        <f>'P - All'!S12</f>
        <v>1026358.97</v>
      </c>
      <c r="AH15" s="51">
        <f>'P - All'!T12</f>
        <v>1466426.34</v>
      </c>
      <c r="AI15" s="51">
        <f>'P - All'!U12</f>
        <v>440067.37</v>
      </c>
      <c r="AJ15" s="106">
        <f>'P - All'!V12</f>
        <v>0.3</v>
      </c>
      <c r="AK15" s="106">
        <f>ROUND((1 - SUM('P - All'!S2,'P - All'!S8) / SUM('P - All'!T2,'P - All'!T8)), 3)</f>
        <v>0.29699999999999999</v>
      </c>
      <c r="AL15" s="106">
        <f>ROUND((1 - SUM('P - All'!S3,'P - All'!S9) / SUM('P - All'!T3,'P - All'!T9)), 3)</f>
        <v>0.34100000000000003</v>
      </c>
      <c r="AM15" s="131" t="e">
        <f>ROUND((1 - SUM('P - All'!S4,'P - All'!S10) / SUM('P - All'!T4,'P - All'!T10)), 3)</f>
        <v>#DIV/0!</v>
      </c>
      <c r="AN15" s="141">
        <f>$C$15</f>
        <v>367255.09</v>
      </c>
      <c r="AO15" s="141">
        <v>275000</v>
      </c>
      <c r="AP15" s="144">
        <f>SUM(AN15-AO15)</f>
        <v>92255.090000000026</v>
      </c>
    </row>
    <row r="16" spans="1:42" x14ac:dyDescent="0.25">
      <c r="A16" s="96" t="s">
        <v>34</v>
      </c>
      <c r="B16" s="98">
        <f>'P - Stock'!C8</f>
        <v>3.7127647635631273</v>
      </c>
      <c r="C16" s="97">
        <f>'P - Stock'!D8</f>
        <v>366203.5</v>
      </c>
      <c r="D16" s="97">
        <f>SUM('P - Stock'!D2)</f>
        <v>237926.51</v>
      </c>
      <c r="E16" s="97">
        <f>SUM('P - Stock'!D3)</f>
        <v>15015.95</v>
      </c>
      <c r="F16" s="97">
        <f>SUM('P - Stock'!D4)</f>
        <v>107261.26</v>
      </c>
      <c r="G16" s="97">
        <f>'P - Stock'!E8</f>
        <v>1207174.1300000001</v>
      </c>
      <c r="H16" s="97">
        <f>'P - Stock'!F8</f>
        <v>1183603.6700000002</v>
      </c>
      <c r="I16" s="97">
        <f>'P - Stock'!G8</f>
        <v>1662464.1500000001</v>
      </c>
      <c r="J16" s="97">
        <f>'P - Stock'!H8</f>
        <v>478860.48</v>
      </c>
      <c r="K16" s="107">
        <f>'P - Stock'!I8</f>
        <v>0.28804259027179624</v>
      </c>
      <c r="L16" s="107">
        <f>ROUND((1 - SUM('P - Stock'!F2) / SUM('P - Stock'!G2)), 3)</f>
        <v>0.29399999999999998</v>
      </c>
      <c r="M16" s="107">
        <f>ROUND((1 - SUM('P - Stock'!F3) / SUM('P - Stock'!G3)), 3)</f>
        <v>0.374</v>
      </c>
      <c r="N16" s="107">
        <f>ROUND((1 - SUM('P - Stock'!F4) / SUM('P - Stock'!G4)), 3)</f>
        <v>0.25700000000000001</v>
      </c>
      <c r="O16" s="118">
        <f>'P - Stock'!J8</f>
        <v>378227.17</v>
      </c>
      <c r="P16" s="97">
        <f>SUM('P - Stock'!J2)</f>
        <v>251855.15</v>
      </c>
      <c r="Q16" s="97">
        <f>SUM('P - Stock'!J3)</f>
        <v>24551.599999999999</v>
      </c>
      <c r="R16" s="97">
        <f>SUM('P - Stock'!J4)</f>
        <v>101798.7</v>
      </c>
      <c r="S16" s="97">
        <f>'P - Stock'!K8</f>
        <v>1131117.06</v>
      </c>
      <c r="T16" s="97">
        <f>'P - Stock'!L8</f>
        <v>1059988.1000000001</v>
      </c>
      <c r="U16" s="97">
        <f>'P - Stock'!M8</f>
        <v>1514055.4400000002</v>
      </c>
      <c r="V16" s="97">
        <f>'P - Stock'!N8</f>
        <v>454067.33999999997</v>
      </c>
      <c r="W16" s="107">
        <f>'P - Stock'!O8</f>
        <v>0.29990139594888288</v>
      </c>
      <c r="X16" s="107">
        <f>ROUND((1 - SUM('P - Stock'!L2) / SUM('P - Stock'!M2)), 3)</f>
        <v>0.29799999999999999</v>
      </c>
      <c r="Y16" s="107">
        <f>ROUND((1 - SUM('P - Stock'!L3) / SUM('P - Stock'!M3)), 3)</f>
        <v>0.33900000000000002</v>
      </c>
      <c r="Z16" s="107">
        <f>ROUND((1 - SUM('P - Stock'!L4) / SUM('P - Stock'!M4)), 3)</f>
        <v>0.29799999999999999</v>
      </c>
      <c r="AA16" s="97">
        <f>'P - Stock'!P8</f>
        <v>1662503</v>
      </c>
      <c r="AB16" s="97">
        <f>'P - Stock'!Q8</f>
        <v>288426.12</v>
      </c>
      <c r="AC16" s="97">
        <f>SUM('P - Stock'!Q2)</f>
        <v>215453.17</v>
      </c>
      <c r="AD16" s="97">
        <f>SUM('P - Stock'!Q3)</f>
        <v>72972.95</v>
      </c>
      <c r="AE16" s="97">
        <f>SUM('P - Stock'!Q4)</f>
        <v>0</v>
      </c>
      <c r="AF16" s="97">
        <f>'P - Stock'!R8</f>
        <v>1080722.1600000001</v>
      </c>
      <c r="AG16" s="97">
        <f>'P - Stock'!S8</f>
        <v>1023005.1699999999</v>
      </c>
      <c r="AH16" s="97">
        <f>'P - Stock'!T8</f>
        <v>1462157.24</v>
      </c>
      <c r="AI16" s="97">
        <f>'P - Stock'!U8</f>
        <v>439152.07</v>
      </c>
      <c r="AJ16" s="107">
        <f>'P - Stock'!V8</f>
        <v>0.30034531033064549</v>
      </c>
      <c r="AK16" s="107">
        <f>ROUND((1 - SUM('P - Stock'!S2) / SUM('P - Stock'!T2)), 3)</f>
        <v>0.29699999999999999</v>
      </c>
      <c r="AL16" s="107">
        <f>ROUND((1 - SUM('P - Stock'!S3) / SUM('P - Stock'!T3)), 3)</f>
        <v>0.34100000000000003</v>
      </c>
      <c r="AM16" s="132" t="e">
        <f>ROUND((1 - SUM('P - Stock'!S4) / SUM('P - Stock'!T4)), 3)</f>
        <v>#DIV/0!</v>
      </c>
      <c r="AO16" s="141"/>
      <c r="AP16" s="140"/>
    </row>
    <row r="17" spans="1:43" x14ac:dyDescent="0.25">
      <c r="A17" s="96" t="s">
        <v>35</v>
      </c>
      <c r="B17" s="98">
        <f>'P - SO'!C5</f>
        <v>2.2241596461479389</v>
      </c>
      <c r="C17" s="97">
        <f>'P - SO'!D5</f>
        <v>5999.78</v>
      </c>
      <c r="D17" s="97">
        <f>SUM('P - SO'!D2)</f>
        <v>4387.05</v>
      </c>
      <c r="E17" s="97">
        <f>SUM('P - SO'!D3)</f>
        <v>308.66000000000003</v>
      </c>
      <c r="F17" s="97">
        <f>SUM('P - SO'!D4)</f>
        <v>1304.07</v>
      </c>
      <c r="G17" s="97">
        <f>'P - SO'!E5</f>
        <v>4766.5</v>
      </c>
      <c r="H17" s="97">
        <f>'P - SO'!F5</f>
        <v>32370.589999999997</v>
      </c>
      <c r="I17" s="97">
        <f>'P - SO'!G5</f>
        <v>39428.14</v>
      </c>
      <c r="J17" s="97">
        <f>'P - SO'!H5</f>
        <v>7057.55</v>
      </c>
      <c r="K17" s="107">
        <f>'P - SO'!I5</f>
        <v>0.17899779193236109</v>
      </c>
      <c r="L17" s="107">
        <f>ROUND((1 - SUM('P - SO'!F2) / SUM('P - SO'!G2)), 3)</f>
        <v>0.184</v>
      </c>
      <c r="M17" s="107">
        <f>ROUND((1 - SUM('P - SO'!F3) / SUM('P - SO'!G3)), 3)</f>
        <v>-0.86599999999999999</v>
      </c>
      <c r="N17" s="107">
        <f>ROUND((1 - SUM('P - SO'!F4) / SUM('P - SO'!G4)), 3)</f>
        <v>0.255</v>
      </c>
      <c r="O17" s="118">
        <f>'P - SO'!J5</f>
        <v>21.72</v>
      </c>
      <c r="P17" s="97">
        <f>SUM('P - SO'!J2)</f>
        <v>0</v>
      </c>
      <c r="Q17" s="97">
        <f>SUM('P - SO'!J3)</f>
        <v>0</v>
      </c>
      <c r="R17" s="97">
        <f>SUM('P - SO'!J4)</f>
        <v>21.72</v>
      </c>
      <c r="S17" s="97">
        <f>'P - SO'!K5</f>
        <v>39</v>
      </c>
      <c r="T17" s="97">
        <f>'P - SO'!L5</f>
        <v>45.910000000000004</v>
      </c>
      <c r="U17" s="97">
        <f>'P - SO'!M5</f>
        <v>82.52</v>
      </c>
      <c r="V17" s="97">
        <f>'P - SO'!N5</f>
        <v>36.61</v>
      </c>
      <c r="W17" s="107">
        <f>'P - SO'!O5</f>
        <v>0.44365002423654865</v>
      </c>
      <c r="X17" s="107">
        <f>ROUND((1 - SUM('P - SO'!L2) / SUM('P - SO'!M2)), 3)</f>
        <v>0.48899999999999999</v>
      </c>
      <c r="Y17" s="107">
        <f>ROUND((1 - SUM('P - SO'!L3) / SUM('P - SO'!M3)), 3)</f>
        <v>0.50800000000000001</v>
      </c>
      <c r="Z17" s="107">
        <f>ROUND((1 - SUM('P - SO'!L4) / SUM('P - SO'!M4)), 3)</f>
        <v>0.35099999999999998</v>
      </c>
      <c r="AA17" s="97">
        <f>'P - SO'!P5</f>
        <v>39468</v>
      </c>
      <c r="AB17" s="97">
        <f>'P - SO'!Q5</f>
        <v>0</v>
      </c>
      <c r="AC17" s="97">
        <f>SUM('P - SO'!Q2)</f>
        <v>0</v>
      </c>
      <c r="AD17" s="97">
        <f>SUM('P - SO'!Q3)</f>
        <v>0</v>
      </c>
      <c r="AE17" s="97">
        <f>SUM('P - SO'!Q4)</f>
        <v>0</v>
      </c>
      <c r="AF17" s="97">
        <f>'P - SO'!R5</f>
        <v>0</v>
      </c>
      <c r="AG17" s="97">
        <f>'P - SO'!S5</f>
        <v>4.08</v>
      </c>
      <c r="AH17" s="97">
        <f>'P - SO'!T5</f>
        <v>7.03</v>
      </c>
      <c r="AI17" s="97">
        <f>'P - SO'!U5</f>
        <v>2.95</v>
      </c>
      <c r="AJ17" s="107">
        <f>'P - SO'!V5</f>
        <v>0.41963015647226176</v>
      </c>
      <c r="AK17" s="107" t="e">
        <f>ROUND((1 - SUM('P - SO'!R2) / SUM('P - SO'!T2)), 3)</f>
        <v>#DIV/0!</v>
      </c>
      <c r="AL17" s="107">
        <f>ROUND((1 - SUM('P - SO'!S3) / SUM('P - SO'!T3)), 3)</f>
        <v>0.42</v>
      </c>
      <c r="AM17" s="132" t="e">
        <f>ROUND((1 - SUM('P - SO'!S4) / SUM('P - SO'!T4)), 3)</f>
        <v>#DIV/0!</v>
      </c>
      <c r="AO17" s="141"/>
      <c r="AP17" s="140"/>
    </row>
    <row r="18" spans="1:43" x14ac:dyDescent="0.25">
      <c r="A18" s="59" t="s">
        <v>36</v>
      </c>
      <c r="B18" s="61">
        <f>'OL - All'!C23</f>
        <v>4.3268824843431721</v>
      </c>
      <c r="C18" s="60">
        <f>'OL - All'!D23</f>
        <v>168826.82</v>
      </c>
      <c r="D18" s="60">
        <f>SUM('OL - All'!D2,'OL - All'!D5,'OL - All'!D8,'OL - All'!D11,'OL - All'!D14,'OL - All'!D20)</f>
        <v>136830.22</v>
      </c>
      <c r="E18" s="60">
        <f>SUM('OL - All'!D3,'OL - All'!D6,'OL - All'!D9,'OL - All'!D12,'OL - All'!D15,'OL - All'!D21)</f>
        <v>30186.389999999996</v>
      </c>
      <c r="F18" s="60">
        <f>SUM('OL - All'!D4,'OL - All'!D7,'OL - All'!D10,'OL - All'!D13,'OL - All'!D16,'OL - All'!D22)</f>
        <v>39.880000000000003</v>
      </c>
      <c r="G18" s="60">
        <f>'OL - All'!E23</f>
        <v>315749</v>
      </c>
      <c r="H18" s="60">
        <f>'OL - All'!F23</f>
        <v>468217.43999999994</v>
      </c>
      <c r="I18" s="60">
        <f>'OL - All'!G23</f>
        <v>560767.92999999993</v>
      </c>
      <c r="J18" s="60">
        <f>'OL - All'!H23</f>
        <v>92550.49</v>
      </c>
      <c r="K18" s="108">
        <f>'OL - All'!I23</f>
        <v>0.16500000000000001</v>
      </c>
      <c r="L18" s="108">
        <f>ROUND((1 - SUM('OL - All'!F2,'OL - All'!F5,'OL - All'!F8,'OL - All'!F11,'OL - All'!F14,'OL - All'!F20) / SUM('OL - All'!G2,'OL - All'!G5,'OL - All'!G8,'OL - All'!G11,'OL - All'!G14,'OL - All'!G20)), 3)</f>
        <v>0.20799999999999999</v>
      </c>
      <c r="M18" s="108">
        <f>ROUND((1 - SUM('OL - All'!F3,'OL - All'!F6,'OL - All'!F9,'OL - All'!F12,'OL - All'!F15,'OL - All'!F21) / SUM('OL - All'!G3,'OL - All'!G6,'OL - All'!G9,'OL - All'!G12,'OL - All'!G15,'OL - All'!G21)), 3)</f>
        <v>0.14899999999999999</v>
      </c>
      <c r="N18" s="108">
        <f>ROUND((1 - SUM('OL - All'!F4,'OL - All'!F7,'OL - All'!F10,'OL - All'!F13,'OL - All'!F16,'OL - All'!F22) / SUM('OL - All'!G4,'OL - All'!G7,'OL - All'!G10,'OL - All'!G13,'OL - All'!G16,'OL - All'!G22)), 3)</f>
        <v>-1.1499999999999999</v>
      </c>
      <c r="O18" s="119">
        <f>'OL - All'!J23</f>
        <v>323421.22000000003</v>
      </c>
      <c r="P18" s="60">
        <f>SUM('OL - All'!J2,'OL - All'!J5,'OL - All'!J8,'OL - All'!J11,'OL - All'!J14,'OL - All'!J20)</f>
        <v>247944.52</v>
      </c>
      <c r="Q18" s="60">
        <f>SUM('OL - All'!J3,'OL - All'!J6,'OL - All'!J9,'OL - All'!J12,'OL - All'!J15,'OL - All'!J21)</f>
        <v>43510.100000000006</v>
      </c>
      <c r="R18" s="60">
        <f>SUM('OL - All'!J4,'OL - All'!J7,'OL - All'!J10,'OL - All'!J13,'OL - All'!J16,'OL - All'!J22)</f>
        <v>9778.51</v>
      </c>
      <c r="S18" s="60">
        <f>'OL - All'!K23</f>
        <v>388039.11999999988</v>
      </c>
      <c r="T18" s="60">
        <f>'OL - All'!L23</f>
        <v>473323.43999999994</v>
      </c>
      <c r="U18" s="60">
        <f>'OL - All'!M23</f>
        <v>664943.82999999996</v>
      </c>
      <c r="V18" s="60">
        <f>'OL - All'!N23</f>
        <v>191620.38999999998</v>
      </c>
      <c r="W18" s="108">
        <f>'OL - All'!O23</f>
        <v>0.28799999999999998</v>
      </c>
      <c r="X18" s="108">
        <f>ROUND((1 - SUM('OL - All'!L2,'OL - All'!L5,'OL - All'!L8,'OL - All'!L11,'OL - All'!L14,'OL - All'!L20) / SUM('OL - All'!M2,'OL - All'!M5,'OL - All'!M8,'OL - All'!M11,'OL - All'!M14,'OL - All'!M20)), 3)</f>
        <v>0.28599999999999998</v>
      </c>
      <c r="Y18" s="108">
        <f>ROUND((1 - SUM('OL - All'!L3,'OL - All'!L6,'OL - All'!L9,'OL - All'!L12,'OL - All'!L15,'OL - All'!L21) / SUM('OL - All'!M3,'OL - All'!M6,'OL - All'!M9,'OL - All'!M12,'OL - All'!M15,'OL - All'!M21)), 3)</f>
        <v>0.11899999999999999</v>
      </c>
      <c r="Z18" s="108">
        <f>ROUND((1 - SUM('OL - All'!L4,'OL - All'!L7,'OL - All'!L10,'OL - All'!L13,'OL - All'!L16,'OL - All'!L22) / SUM('OL - All'!M4,'OL - All'!M7,'OL - All'!M10,'OL - All'!M13,'OL - All'!M16,'OL - All'!M22)), 3)</f>
        <v>0.42799999999999999</v>
      </c>
      <c r="AA18" s="60">
        <f>'OL - All'!P23</f>
        <v>566468</v>
      </c>
      <c r="AB18" s="60">
        <f>'OL - All'!Q23</f>
        <v>330735.23</v>
      </c>
      <c r="AC18" s="60">
        <f>SUM('OL - All'!Q2,'OL - All'!Q5,'OL - All'!Q8,'OL - All'!Q11,'OL - All'!Q14,'OL - All'!Q20)</f>
        <v>313589.65999999997</v>
      </c>
      <c r="AD18" s="60">
        <f>SUM('OL - All'!Q3,'OL - All'!Q6,'OL - All'!Q9,'OL - All'!Q12,'OL - All'!Q15,'OL - All'!Q21)</f>
        <v>17145.57</v>
      </c>
      <c r="AE18" s="60">
        <f>SUM('OL - All'!Q4,'OL - All'!Q7,'OL - All'!Q10,'OL - All'!Q13,'OL - All'!Q16,'OL - All'!Q22)</f>
        <v>0</v>
      </c>
      <c r="AF18" s="60">
        <f>'OL - All'!R23</f>
        <v>552589.47</v>
      </c>
      <c r="AG18" s="60">
        <f>'OL - All'!S23</f>
        <v>564423.05000000005</v>
      </c>
      <c r="AH18" s="60">
        <f>'OL - All'!T23</f>
        <v>855670.41</v>
      </c>
      <c r="AI18" s="60">
        <f>'OL - All'!U23</f>
        <v>291247.36000000004</v>
      </c>
      <c r="AJ18" s="108">
        <f>'OL - All'!V23</f>
        <v>0.34</v>
      </c>
      <c r="AK18" s="108">
        <f>ROUND((1 - SUM('OL - All'!S2,'OL - All'!S5,'OL - All'!S8,'OL - All'!S11,'OL - All'!S14,'OL - All'!S20) / SUM('OL - All'!T2,'OL - All'!T5,'OL - All'!T8,'OL - All'!T11,'OL - All'!T14,'OL - All'!T20)), 3)</f>
        <v>0.34899999999999998</v>
      </c>
      <c r="AL18" s="108">
        <f>ROUND((1 - SUM('OL - All'!S3,'OL - All'!S6,'OL - All'!S9,'OL - All'!S12,'OL - All'!S15,'OL - All'!S21) / SUM('OL - All'!T3,'OL - All'!T6,'OL - All'!T9,'OL - All'!T12,'OL - All'!T15,'OL - All'!T21)), 3)</f>
        <v>0.25900000000000001</v>
      </c>
      <c r="AM18" s="133" t="e">
        <f>ROUND((1 - SUM('OL - All'!S4,'OL - All'!S7,'OL - All'!S10,'OL - All'!S13,'OL - All'!S16,'OL - All'!S22) / SUM('OL - All'!T4,'OL - All'!T7,'OL - All'!T10,'OL - All'!T13,'OL - All'!T16,'OL - All'!T22)), 3)</f>
        <v>#DIV/0!</v>
      </c>
      <c r="AN18" s="141">
        <f>$C$18</f>
        <v>168826.82</v>
      </c>
      <c r="AO18" s="141">
        <v>200000</v>
      </c>
      <c r="AP18" s="144">
        <f>SUM(AN18-AO18-22000)</f>
        <v>-53173.179999999993</v>
      </c>
      <c r="AQ18" t="s">
        <v>127</v>
      </c>
    </row>
    <row r="19" spans="1:43" x14ac:dyDescent="0.25">
      <c r="A19" s="101" t="s">
        <v>37</v>
      </c>
      <c r="B19" s="100">
        <f>'OL - Stock'!C20</f>
        <v>4.6044395077534119</v>
      </c>
      <c r="C19" s="99">
        <f>'OL - Stock'!D20</f>
        <v>167056.49000000002</v>
      </c>
      <c r="D19" s="99">
        <f>SUM('OL - Stock'!D2,'OL - Stock'!D5,'OL - Stock'!D8,'OL - Stock'!D11,'OL - Stock'!D17)</f>
        <v>136830.22</v>
      </c>
      <c r="E19" s="99">
        <f>SUM('OL - Stock'!D3,'OL - Stock'!D6,'OL - Stock'!D9,'OL - Stock'!D12,'OL - Stock'!D18)</f>
        <v>30186.389999999996</v>
      </c>
      <c r="F19" s="99">
        <f>SUM('OL - Stock'!D4,'OL - Stock'!D7,'OL - Stock'!D10,'OL - Stock'!D13,'OL - Stock'!D19)</f>
        <v>39.880000000000003</v>
      </c>
      <c r="G19" s="99">
        <f>'OL - Stock'!E20</f>
        <v>304147.92</v>
      </c>
      <c r="H19" s="99">
        <f>'OL - Stock'!F20</f>
        <v>435379.35</v>
      </c>
      <c r="I19" s="99">
        <f>'OL - Stock'!G20</f>
        <v>540427.74</v>
      </c>
      <c r="J19" s="99">
        <f>'OL - Stock'!H20</f>
        <v>105048.39</v>
      </c>
      <c r="K19" s="109">
        <f>'OL - Stock'!I20</f>
        <v>0.19438008493050341</v>
      </c>
      <c r="L19" s="109">
        <f>ROUND((1 - SUM('OL - Stock'!F2,'OL - Stock'!F5,'OL - Stock'!F8,'OL - Stock'!F11,'OL - Stock'!F17) / SUM('OL - Stock'!G2,'OL - Stock'!G5,'OL - Stock'!G8,'OL - Stock'!G11,'OL - Stock'!G17)), 3)</f>
        <v>0.20799999999999999</v>
      </c>
      <c r="M19" s="109">
        <f>ROUND((1 - SUM('OL - Stock'!F3,'OL - Stock'!F6,'OL - Stock'!F9,'OL - Stock'!F12,'OL - Stock'!F18) / SUM('OL - Stock'!G3,'OL - Stock'!G6,'OL - Stock'!G9,'OL - Stock'!G12,'OL - Stock'!G18)), 3)</f>
        <v>0.14899999999999999</v>
      </c>
      <c r="N19" s="109">
        <f>ROUND((1 - SUM('OL - Stock'!F4,'OL - Stock'!F7,'OL - Stock'!F10,'OL - Stock'!F13,'OL - Stock'!F19) / SUM('OL - Stock'!G4,'OL - Stock'!G7,'OL - Stock'!G10,'OL - Stock'!G13,'OL - Stock'!G19)), 3)</f>
        <v>-1.1499999999999999</v>
      </c>
      <c r="O19" s="120">
        <f>'OL - Stock'!J20</f>
        <v>301233.13</v>
      </c>
      <c r="P19" s="99">
        <f>SUM('OL - Stock'!J2,'OL - Stock'!J5,'OL - Stock'!J8,'OL - Stock'!J11,'OL - Stock'!J17)</f>
        <v>247944.52</v>
      </c>
      <c r="Q19" s="99">
        <f>SUM('OL - Stock'!J3,'OL - Stock'!J6,'OL - Stock'!J9,'OL - Stock'!J12,'OL - Stock'!J18)</f>
        <v>43510.100000000006</v>
      </c>
      <c r="R19" s="99">
        <f>SUM('OL - Stock'!J4,'OL - Stock'!J7,'OL - Stock'!J10,'OL - Stock'!J13,'OL - Stock'!J19)</f>
        <v>9778.51</v>
      </c>
      <c r="S19" s="99">
        <f>'OL - Stock'!K20</f>
        <v>322797.03999999992</v>
      </c>
      <c r="T19" s="99">
        <f>'OL - Stock'!L20</f>
        <v>439252.6</v>
      </c>
      <c r="U19" s="99">
        <f>'OL - Stock'!M20</f>
        <v>610400.28</v>
      </c>
      <c r="V19" s="99">
        <f>'OL - Stock'!N20</f>
        <v>171147.68</v>
      </c>
      <c r="W19" s="109">
        <f>'OL - Stock'!O20</f>
        <v>0.28038597885308969</v>
      </c>
      <c r="X19" s="109">
        <f>ROUND((1 - SUM('OL - Stock'!L2,'OL - Stock'!L5,'OL - Stock'!L8,'OL - Stock'!L11,'OL - Stock'!L17) / SUM('OL - Stock'!M2,'OL - Stock'!M5,'OL - Stock'!M8,'OL - Stock'!M11,'OL - Stock'!M17)), 3)</f>
        <v>0.28599999999999998</v>
      </c>
      <c r="Y19" s="109">
        <f>ROUND((1 - SUM('OL - Stock'!L3,'OL - Stock'!L6,'OL - Stock'!L9,'OL - Stock'!L12,'OL - Stock'!L18) / SUM('OL - Stock'!M3,'OL - Stock'!M6,'OL - Stock'!M9,'OL - Stock'!M12,'OL - Stock'!M18)), 3)</f>
        <v>0.11899999999999999</v>
      </c>
      <c r="Z19" s="109">
        <f>ROUND((1 - SUM('OL - Stock'!L4,'OL - Stock'!L7,'OL - Stock'!L10,'OL - Stock'!L13,'OL - Stock'!L19) / SUM('OL - Stock'!M4,'OL - Stock'!M7,'OL - Stock'!M10,'OL - Stock'!M13,'OL - Stock'!M19)), 3)</f>
        <v>0.42799999999999999</v>
      </c>
      <c r="AA19" s="99">
        <f>'OL - Stock'!P20</f>
        <v>546127</v>
      </c>
      <c r="AB19" s="99">
        <f>'OL - Stock'!Q20</f>
        <v>330735.23</v>
      </c>
      <c r="AC19" s="99">
        <f>SUM('OL - Stock'!Q2,'OL - Stock'!Q5,'OL - Stock'!Q8,'OL - Stock'!Q11,'OL - Stock'!Q17)</f>
        <v>313589.65999999997</v>
      </c>
      <c r="AD19" s="99">
        <f>SUM('OL - Stock'!Q3,'OL - Stock'!Q6,'OL - Stock'!Q9,'OL - Stock'!Q12,'OL - Stock'!Q18)</f>
        <v>17145.57</v>
      </c>
      <c r="AE19" s="99">
        <f>SUM('OL - Stock'!Q4,'OL - Stock'!Q7,'OL - Stock'!Q10,'OL - Stock'!Q13,'OL - Stock'!Q19)</f>
        <v>0</v>
      </c>
      <c r="AF19" s="99">
        <f>'OL - Stock'!R20</f>
        <v>552589.47</v>
      </c>
      <c r="AG19" s="99">
        <f>'OL - Stock'!S20</f>
        <v>516942.32999999996</v>
      </c>
      <c r="AH19" s="99">
        <f>'OL - Stock'!T20</f>
        <v>792321.22000000009</v>
      </c>
      <c r="AI19" s="99">
        <f>'OL - Stock'!U20</f>
        <v>275378.89</v>
      </c>
      <c r="AJ19" s="109">
        <f>'OL - Stock'!V20</f>
        <v>0.34755965516107235</v>
      </c>
      <c r="AK19" s="109">
        <f>ROUND((1 - SUM('OL - Stock'!S2,'OL - Stock'!S5,'OL - Stock'!S8,'OL - Stock'!S11,'OL - Stock'!S17) / SUM('OL - Stock'!T2,'OL - Stock'!T5,'OL - Stock'!T8,'OL - Stock'!T11,'OL - Stock'!T17)), 3)</f>
        <v>0.34899999999999998</v>
      </c>
      <c r="AL19" s="109">
        <f>ROUND((1 - SUM('OL - Stock'!S3,'OL - Stock'!S6,'OL - Stock'!S9,'OL - Stock'!S12,'OL - Stock'!S18) / SUM('OL - Stock'!T3,'OL - Stock'!T6,'OL - Stock'!T9,'OL - Stock'!T12,'OL - Stock'!T18)), 3)</f>
        <v>0.25900000000000001</v>
      </c>
      <c r="AM19" s="134" t="e">
        <f>ROUND((1 - SUM('OL - Stock'!S4,'OL - Stock'!S7,'OL - Stock'!S10,'OL - Stock'!S13,'OL - Stock'!S19) / SUM('OL - Stock'!T4,'OL - Stock'!T7,'OL - Stock'!T10,'OL - Stock'!T13,'OL - Stock'!T19)), 3)</f>
        <v>#DIV/0!</v>
      </c>
      <c r="AO19" s="141"/>
      <c r="AP19" s="140"/>
    </row>
    <row r="20" spans="1:43" ht="15.75" thickBot="1" x14ac:dyDescent="0.3">
      <c r="A20" s="59" t="s">
        <v>38</v>
      </c>
      <c r="B20" s="61">
        <f>'OL - SO'!C5</f>
        <v>0.64693043962057484</v>
      </c>
      <c r="C20" s="60">
        <f>'OL - SO'!D5</f>
        <v>1770.33</v>
      </c>
      <c r="D20" s="60">
        <f>SUM('OL - SO'!D2)</f>
        <v>1770.33</v>
      </c>
      <c r="E20" s="60">
        <f>SUM('OL - SO'!D3)</f>
        <v>0</v>
      </c>
      <c r="F20" s="60">
        <f>SUM('OL - SO'!D4)</f>
        <v>0</v>
      </c>
      <c r="G20" s="60">
        <f>'OL - SO'!E5</f>
        <v>11601.080000000002</v>
      </c>
      <c r="H20" s="60">
        <f>'OL - SO'!F5</f>
        <v>32838.089999999997</v>
      </c>
      <c r="I20" s="60">
        <f>'OL - SO'!G5</f>
        <v>20340.189999999999</v>
      </c>
      <c r="J20" s="60">
        <f>'OL - SO'!H5</f>
        <v>-12497.900000000001</v>
      </c>
      <c r="K20" s="108">
        <f>'OL - SO'!I5</f>
        <v>-0.61444362122477703</v>
      </c>
      <c r="L20" s="108">
        <f>ROUND((1 - SUM('OL - SO'!F2) / SUM('OL - SO'!G2)), 3)</f>
        <v>-1.2110000000000001</v>
      </c>
      <c r="M20" s="108">
        <f>ROUND((1 - SUM('OL - SO'!F3) / SUM('OL - SO'!G3)), 3)</f>
        <v>0.41799999999999998</v>
      </c>
      <c r="N20" s="108" t="e">
        <f>ROUND((1 - SUM('OL - SO'!F4) / SUM('OL - SO'!G4)), 3)</f>
        <v>#DIV/0!</v>
      </c>
      <c r="O20" s="119">
        <f>'OL - SO'!J5</f>
        <v>22188.09</v>
      </c>
      <c r="P20" s="60">
        <f>SUM('OL - SO'!J2)</f>
        <v>22188.09</v>
      </c>
      <c r="Q20" s="60">
        <f>SUM('OL - SO'!J3)</f>
        <v>0</v>
      </c>
      <c r="R20" s="60">
        <f>SUM('OL - SO'!J4)</f>
        <v>0</v>
      </c>
      <c r="S20" s="60">
        <f>'OL - SO'!K5</f>
        <v>65242.080000000002</v>
      </c>
      <c r="T20" s="60">
        <f>'OL - SO'!L5</f>
        <v>34070.839999999997</v>
      </c>
      <c r="U20" s="60">
        <f>'OL - SO'!M5</f>
        <v>54543.55</v>
      </c>
      <c r="V20" s="60">
        <f>'OL - SO'!N5</f>
        <v>20472.710000000003</v>
      </c>
      <c r="W20" s="108">
        <f>'OL - SO'!O5</f>
        <v>0.37534612250211075</v>
      </c>
      <c r="X20" s="108">
        <f>ROUND((1 - SUM('OL - SO'!L2) / SUM('OL - SO'!M2)), 3)</f>
        <v>0.39300000000000002</v>
      </c>
      <c r="Y20" s="108">
        <f>ROUND((1 - SUM('OL - SO'!L3) / SUM('OL - SO'!M3)), 3)</f>
        <v>0.182</v>
      </c>
      <c r="Z20" s="108" t="e">
        <f>ROUND((1 - SUM('OL - SO'!L4) / SUM('OL - SO'!M4)), 3)</f>
        <v>#DIV/0!</v>
      </c>
      <c r="AA20" s="60">
        <f>'OL - SO'!P5</f>
        <v>20341</v>
      </c>
      <c r="AB20" s="60">
        <f>'OL - SO'!Q5</f>
        <v>0</v>
      </c>
      <c r="AC20" s="60">
        <f>SUM('OL - SO'!Q2)</f>
        <v>0</v>
      </c>
      <c r="AD20" s="60">
        <f>SUM('OL - SO'!Q3)</f>
        <v>0</v>
      </c>
      <c r="AE20" s="60">
        <f>SUM('OL - SO'!Q4)</f>
        <v>0</v>
      </c>
      <c r="AF20" s="60">
        <f>'OL - SO'!R5</f>
        <v>0</v>
      </c>
      <c r="AG20" s="60">
        <f>'OL - SO'!S5</f>
        <v>47480.72</v>
      </c>
      <c r="AH20" s="60">
        <f>'OL - SO'!T5</f>
        <v>63349.19</v>
      </c>
      <c r="AI20" s="60">
        <f>'OL - SO'!U5</f>
        <v>15868.470000000001</v>
      </c>
      <c r="AJ20" s="108">
        <f>'OL - SO'!V5</f>
        <v>0.25049207416858843</v>
      </c>
      <c r="AK20" s="108">
        <f>ROUND((1 - SUM('OL - SO'!S2) / SUM('OL - SO'!T2)), 3)</f>
        <v>0.251</v>
      </c>
      <c r="AL20" s="108">
        <f>ROUND((1 - SUM('OL - SO'!S3) / SUM('OL - SO'!T3)), 3)</f>
        <v>0.248</v>
      </c>
      <c r="AM20" s="133" t="e">
        <f>ROUND((1 - SUM('OL - SO'!S4) / SUM('OL - SO'!T4)), 3)</f>
        <v>#DIV/0!</v>
      </c>
      <c r="AO20" s="141"/>
      <c r="AP20" s="140"/>
    </row>
    <row r="21" spans="1:43" ht="15.75" thickBot="1" x14ac:dyDescent="0.3">
      <c r="A21" s="12" t="s">
        <v>39</v>
      </c>
      <c r="B21" s="62">
        <f>IF(C21=0,0,C21/(H21/12))</f>
        <v>2.5845851850310044</v>
      </c>
      <c r="C21" s="13">
        <f>SUM(C3,C6,C9,C12,C15,C18)</f>
        <v>2478075.92</v>
      </c>
      <c r="D21" s="13">
        <f>SUM(D3,D6,D9,D12,D15,D18)</f>
        <v>1176207.1099999999</v>
      </c>
      <c r="E21" s="13">
        <f t="shared" ref="E21:AI21" si="0">SUM(E3,E6,E9,E12,E15,E18)</f>
        <v>1188905.76</v>
      </c>
      <c r="F21" s="13">
        <f t="shared" si="0"/>
        <v>110141.13</v>
      </c>
      <c r="G21" s="13">
        <f t="shared" si="0"/>
        <v>11331341.149999999</v>
      </c>
      <c r="H21" s="13">
        <f t="shared" si="0"/>
        <v>11505486.92</v>
      </c>
      <c r="I21" s="13">
        <f t="shared" si="0"/>
        <v>16220862.669999998</v>
      </c>
      <c r="J21" s="13">
        <f t="shared" si="0"/>
        <v>4715375.75</v>
      </c>
      <c r="K21" s="110">
        <f>1-(H21/I21)</f>
        <v>0.29069821044234256</v>
      </c>
      <c r="L21" s="110">
        <f>ROUND((1 - SUM('BM -ALL- Stock'!F2,'BM -ALL- Stock'!F5,'BM -ALL- Stock'!F8,'BM -ALL- Stock'!F11,'BM -ALL- Stock'!F14,'BM -ALL- Stock'!F17,'BM -ALL- Stock'!F20,'BM -ALL- Stock'!F23,'BM -ALL- Stock'!F26,'BM -ALL- Stock'!F29,'L - All'!F2,'L - All'!F5,'L - All'!F8,'L - All'!F11,'L - All'!F14,'L - All'!F17,'L - All'!F20,'L - All'!F23,'L - All'!F26,'L - All'!F29,'M - All'!F2,'M - All'!F5,'M - All'!F8,'M - All'!F11,'M - All'!F14,'M - All'!F17,'M - All'!F20,'M - All'!F23,'M - All'!F26,'HW - All'!F2,'HW - All'!F5,'HW - All'!F8,'HW - All'!F11,'HW - All'!F14,'HW - All'!F17,'HW - All'!F20,'HW - All'!F23,'HW - All'!F26,'HW - All'!F29,'HW - All'!F32,'HW - All'!F35,'HW - All'!F38,'HW - All'!F41,'HW - All'!F44,'HW - All'!F47,'P - All'!F2,'P - All'!F8,'OL - All'!F2,'OL - All'!F5,'OL - All'!F8,'OL - All'!F11,'OL - All'!F14,'OL - All'!F20 )/SUM('BM -ALL- Stock'!G2,'BM -ALL- Stock'!G5,'BM -ALL- Stock'!G8,'BM -ALL- Stock'!G11,'BM -ALL- Stock'!G14,'BM -ALL- Stock'!G17,'BM -ALL- Stock'!G20,'BM -ALL- Stock'!G23,'BM -ALL- Stock'!G26,'BM -ALL- Stock'!G29,'L - All'!G2,'L - All'!G5,'L - All'!G8,'L - All'!G11,'L - All'!G14,'L - All'!G17,'L - All'!G20,'L - All'!G23,'L - All'!G26,'L - All'!G29,'M - All'!G2,'M - All'!G5,'M - All'!G8,'M - All'!G11,'M - All'!G14,'M - All'!G17,'M - All'!G20,'M - All'!G23,'M - All'!G26,'HW - All'!G2,'HW - All'!G5,'HW - All'!G8,'HW - All'!G11,'HW - All'!G14,'HW - All'!G17,'HW - All'!G20,'HW - All'!G23,'HW - All'!G26,'HW - All'!G29,'HW - All'!G32,'HW - All'!G35,'HW - All'!G38,'HW - All'!G41,'HW - All'!G44,'HW - All'!G47,'P - All'!G2,'P - All'!G8,'OL - All'!G2,'OL - All'!G5,'OL - All'!G8,'OL - All'!G11,'OL - All'!G14,'OL - All'!G20 )), 3)</f>
        <v>0.33800000000000002</v>
      </c>
      <c r="M21" s="110">
        <f>ROUND((1 - SUM('BM -ALL- Stock'!F3,'BM -ALL- Stock'!F6,'BM -ALL- Stock'!F9,'BM -ALL- Stock'!F12,'BM -ALL- Stock'!F15,'BM -ALL- Stock'!F18,'BM -ALL- Stock'!F21,'BM -ALL- Stock'!F24,'BM -ALL- Stock'!F27,'BM -ALL- Stock'!F30,'L - All'!F3,'L - All'!F6,'L - All'!F9,'L - All'!F12,'L - All'!F15,'L - All'!F18,'L - All'!F21,'L - All'!F24,'L - All'!F27,'L - All'!F30,'M - All'!F3,'M - All'!F6,'M - All'!F9,'M - All'!F12,'M - All'!F15,'M - All'!F18,'M - All'!F21,'M - All'!F24,'M - All'!F27,'HW - All'!F3,'HW - All'!F6,'HW - All'!F9,'HW - All'!F12,'HW - All'!F15,'HW - All'!F18,'HW - All'!F21,'HW - All'!F24,'HW - All'!F27,'HW - All'!F30,'HW - All'!F33,'HW - All'!F36,'HW - All'!F39,'HW - All'!F42,'HW - All'!F45,'HW - All'!F48,'P - All'!F3,'P - All'!F9,'OL - All'!F3,'OL - All'!F6,'OL - All'!F9,'OL - All'!F12,'OL - All'!F15,'OL - All'!F21) / SUM('BM -ALL- Stock'!G3,'BM -ALL- Stock'!G6,'BM -ALL- Stock'!G9,'BM -ALL- Stock'!G12,'BM -ALL- Stock'!G15,'BM -ALL- Stock'!G18,'BM -ALL- Stock'!G21,'BM -ALL- Stock'!G24,'BM -ALL- Stock'!G27,'BM -ALL- Stock'!G30,'L - All'!G3,'L - All'!G6,'L - All'!G9,'L - All'!G12,'L - All'!G15,'L - All'!G18,'L - All'!G21,'L - All'!G24,'L - All'!G27,'L - All'!G30,'M - All'!G3,'M - All'!G6,'M - All'!G9,'M - All'!G12,'M - All'!G15,'M - All'!G18,'M - All'!G21,'M - All'!G24,'M - All'!G27,'HW - All'!G3,'HW - All'!G6,'HW - All'!G9,'HW - All'!G12,'HW - All'!G15,'HW - All'!G18,'HW - All'!G21,'HW - All'!G24,'HW - All'!G27,'HW - All'!G30,'HW - All'!G33,'HW - All'!G36,'HW - All'!G39,'HW - All'!G42,'HW - All'!G45,'HW - All'!G48,'P - All'!G3,'P - All'!G9,'OL - All'!G3,'OL - All'!G6,'OL - All'!G9,'OL - All'!G12,'OL - All'!G15,'OL - All'!G21)), 3)</f>
        <v>0.247</v>
      </c>
      <c r="N21" s="110">
        <f>ROUND((1 - SUM('BM -ALL- Stock'!F4,'BM -ALL- Stock'!F7,'BM -ALL- Stock'!F10,'BM -ALL- Stock'!F13,'BM -ALL- Stock'!F16,'BM -ALL- Stock'!F19,'BM -ALL- Stock'!F22,'BM -ALL- Stock'!F25,'BM -ALL- Stock'!F28,'BM -ALL- Stock'!F31,'L - All'!F4,'L - All'!F7,'L - All'!F10,'L - All'!F13,'L - All'!F16,'L - All'!F19,'L - All'!F22,'L - All'!F25,'L - All'!F28,'L - All'!F31,'M - All'!F4,'M - All'!F7,'M - All'!F10,'M - All'!F13,'M - All'!F16,'M - All'!F19,'M - All'!F22,'M - All'!F25,'M - All'!F28,'HW - All'!F4,'HW - All'!F7,'HW - All'!F10,'HW - All'!F13,'HW - All'!F16,'HW - All'!F19,'HW - All'!F22,'HW - All'!F25,'HW - All'!F28,'HW - All'!F31,'HW - All'!F34,'HW - All'!F37,'HW - All'!F40,'HW - All'!F43,'HW - All'!F46,'HW - All'!F49,'P - All'!F4,'P - All'!F10,'OL - All'!F4,'OL - All'!F7,'OL - All'!F10,'OL - All'!F13,'OL - All'!F16,'OL - All'!F22) / SUM('BM -ALL- Stock'!G4,'BM -ALL- Stock'!G7,'BM -ALL- Stock'!G10,'BM -ALL- Stock'!G13,'BM -ALL- Stock'!G16,'BM -ALL- Stock'!G19,'BM -ALL- Stock'!G22,'BM -ALL- Stock'!G25,'BM -ALL- Stock'!G28,'BM -ALL- Stock'!G31,'L - All'!G4,'L - All'!G7,'L - All'!G10,'L - All'!G13,'L - All'!G16,'L - All'!G19,'L - All'!G22,'L - All'!G25,'L - All'!G28,'L - All'!G31,'M - All'!G4,'M - All'!G7,'M - All'!G10,'M - All'!G13,'M - All'!G16,'M - All'!G19,'M - All'!G22,'M - All'!G25,'M - All'!G28,'HW - All'!G4,'HW - All'!G7,'HW - All'!G10,'HW - All'!G13,'HW - All'!G16,'HW - All'!G19,'HW - All'!G22,'HW - All'!G25,'HW - All'!G28,'HW - All'!G31,'HW - All'!G34,'HW - All'!G37,'HW - All'!G40,'HW - All'!G43,'HW - All'!G46,'HW - All'!G49,'P - All'!G4,'P - All'!G10,'OL - All'!G4,'OL - All'!G7,'OL - All'!G10,'OL - All'!G13,'OL - All'!G16,'OL - All'!G22)), 3)</f>
        <v>0.23200000000000001</v>
      </c>
      <c r="O21" s="121">
        <f>SUM(O3,O6,O9,O12,O15,O18)</f>
        <v>2712445.7000000007</v>
      </c>
      <c r="P21" s="13">
        <f t="shared" si="0"/>
        <v>1187553.1099999999</v>
      </c>
      <c r="Q21" s="13">
        <f t="shared" si="0"/>
        <v>1385206.6</v>
      </c>
      <c r="R21" s="13">
        <f t="shared" si="0"/>
        <v>117767.36</v>
      </c>
      <c r="S21" s="13">
        <f t="shared" si="0"/>
        <v>11660648.26</v>
      </c>
      <c r="T21" s="13">
        <f t="shared" si="0"/>
        <v>11731293.68</v>
      </c>
      <c r="U21" s="13">
        <f t="shared" si="0"/>
        <v>16373768.16</v>
      </c>
      <c r="V21" s="13">
        <f t="shared" si="0"/>
        <v>4642474.4799999995</v>
      </c>
      <c r="W21" s="110">
        <f>1-(T21/U21)</f>
        <v>0.28353122107477069</v>
      </c>
      <c r="X21" s="110">
        <f>ROUND((1 - SUM('BM -ALL- Stock'!L2,'BM -ALL- Stock'!L5,'BM -ALL- Stock'!L8,'BM -ALL- Stock'!L11,'BM -ALL- Stock'!L14,'BM -ALL- Stock'!L17,'BM -ALL- Stock'!L20,'BM -ALL- Stock'!L23,'BM -ALL- Stock'!L26,'BM -ALL- Stock'!L29,'L - All'!L2,'L - All'!L5,'L - All'!L8,'L - All'!L11,'L - All'!L14,'L - All'!L17,'L - All'!L20,'L - All'!L23,'L - All'!L26,'L - All'!L29, 'M - All'!L2,'M - All'!L5,'M - All'!L8,'M - All'!L11,'M - All'!L14,'M - All'!L17,'M - All'!L20,'M - All'!L23,'M - All'!L26,'HW - All'!L2,'HW - All'!L5,'HW - All'!L8,'HW - All'!L11,'HW - All'!L14,'HW - All'!L17,'HW - All'!L20,'HW - All'!L23,'HW - All'!L26,'HW - All'!L29,'HW - All'!L32,'HW - All'!L35,'HW - All'!L38,'HW - All'!L41,'HW - All'!L44,'HW - All'!L47,'P - All'!L2,'P - All'!L8,'OL - All'!L2,'OL - All'!L5,'OL - All'!L8,'OL - All'!L11,'OL - All'!L14,'OL - All'!L20) / SUM('BM -ALL- Stock'!M2,'BM -ALL- Stock'!M5,'BM -ALL- Stock'!M8,'BM -ALL- Stock'!M11,'BM -ALL- Stock'!M14,'BM -ALL- Stock'!M17,'BM -ALL- Stock'!M20,'BM -ALL- Stock'!M23,'BM -ALL- Stock'!M26,'BM -ALL- Stock'!M29,'L - All'!M2,'L - All'!M5,'L - All'!M8,'L - All'!M11,'L - All'!M14,'L - All'!M17,'L - All'!M20,'L - All'!M23,'L - All'!M26,'L - All'!M29,'M - All'!M2,'M - All'!M5,'M - All'!M8,'M - All'!M11,'M - All'!M14,'M - All'!M17,'M - All'!M20,'M - All'!M23,'M - All'!M26,'HW - All'!M2,'HW - All'!M5,'HW - All'!M8,'HW - All'!M11,'HW - All'!M14,'HW - All'!M17,'HW - All'!M20,'HW - All'!M23,'HW - All'!M26,'HW - All'!M29,'HW - All'!M32,'HW - All'!M35,'HW - All'!M38,'HW - All'!M41,'HW - All'!M44,'HW - All'!M47,'P - All'!M2,'P - All'!M8,'OL - All'!M2,'OL - All'!M5,'OL - All'!M8,'OL - All'!M11,'OL - All'!M14,'OL - All'!M20)), 3)</f>
        <v>0.33900000000000002</v>
      </c>
      <c r="Y21" s="110">
        <f>ROUND((1 - SUM('BM -ALL- Stock'!L3,'BM -ALL- Stock'!L6,'BM -ALL- Stock'!L9,'BM -ALL- Stock'!L12,'BM -ALL- Stock'!L15,'BM -ALL- Stock'!L18,'BM -ALL- Stock'!L21,'BM -ALL- Stock'!L24,'BM -ALL- Stock'!L27,'BM -ALL- Stock'!L30,'L - All'!L3,'L - All'!L6,'L - All'!L9,'L - All'!L12,'L - All'!L15,'L - All'!L18,'L - All'!L21,'L - All'!L24,'L - All'!L27,'L - All'!L30,'M - All'!L3,'M - All'!L6,'M - All'!L9,'M - All'!L12,'M - All'!L15,'M - All'!L18,'M - All'!L21,'M - All'!L24,'M - All'!L27,'HW - All'!L3,'HW - All'!L6,'HW - All'!L9,'HW - All'!L12,'HW - All'!L15,'HW - All'!L18,'HW - All'!L21,'HW - All'!L24,'HW - All'!L27,'HW - All'!L30,'HW - All'!L33,'HW - All'!L36,'HW - All'!L39,'HW - All'!L42,'HW - All'!L45,'HW - All'!L48,'P - All'!L3,'P - All'!L9,'OL - All'!L3,'OL - All'!L6,'OL - All'!L9,'OL - All'!L12,'OL - All'!L15,'OL - All'!L21) / SUM('BM -ALL- Stock'!M3,'BM -ALL- Stock'!M6,'BM -ALL- Stock'!M9,'BM -ALL- Stock'!M12,'BM -ALL- Stock'!M15,'BM -ALL- Stock'!M18,'BM -ALL- Stock'!M21,'BM -ALL- Stock'!M24,'BM -ALL- Stock'!M27,'BM -ALL- Stock'!M30,'L - All'!M3,'L - All'!M6,'L - All'!M9,'L - All'!M12,'L - All'!M15,'L - All'!M18,'L - All'!M21,'L - All'!M24,'L - All'!M27,'L - All'!M30,'M - All'!M3,'M - All'!M6,'M - All'!M9,'M - All'!M12,'M - All'!M15,'M - All'!M18,'M - All'!M21,'M - All'!M24,'M - All'!M27,'HW - All'!M3,'HW - All'!M6,'HW - All'!M9,'HW - All'!M12,'HW - All'!M15,'HW - All'!M18,'HW - All'!M21,'HW - All'!M24,'HW - All'!M27,'HW - All'!M30,'HW - All'!M33,'HW - All'!M36,'HW - All'!M39,'HW - All'!M42,'HW - All'!M45,'HW - All'!M48,'P - All'!M3,'P - All'!M9,'OL - All'!M3,'OL - All'!M6,'OL - All'!M9,'OL - All'!M12,'OL - All'!M15,'OL - All'!M21)), 3)</f>
        <v>0.24099999999999999</v>
      </c>
      <c r="Z21" s="110">
        <f>ROUND((1 - SUM('BM -ALL- Stock'!L4,'BM -ALL- Stock'!L7,'BM -ALL- Stock'!L10,'BM -ALL- Stock'!L13,'BM -ALL- Stock'!L16,'BM -ALL- Stock'!L19,'BM -ALL- Stock'!L22,'BM -ALL- Stock'!L25,'BM -ALL- Stock'!L28,'BM -ALL- Stock'!L31,'L - All'!L4,'L - All'!L7,'L - All'!L10,'L - All'!L13,'L - All'!L16,'L - All'!L19,'L - All'!L22,'L - All'!L25,'L - All'!L28,'L - All'!L31,'M - All'!L4,'M - All'!L7,'M - All'!L10,'M - All'!L13,'M - All'!L16,'M - All'!L19,'M - All'!L22,'M - All'!L25,'M - All'!L28,'HW - All'!L4,'HW - All'!L7,'HW - All'!L10,'HW - All'!L13,'HW - All'!L16,'HW - All'!L19,'HW - All'!L22,'HW - All'!L25,'HW - All'!L28,'HW - All'!L31,'HW - All'!L34,'HW - All'!L37,'HW - All'!L40,'HW - All'!L43,'HW - All'!L46,'HW - All'!L49,'P - All'!L4,'P - All'!L10,'OL - All'!L4,'OL - All'!L7,'OL - All'!L10,'OL - All'!L13,'OL - All'!L16,'OL - All'!L22) / SUM('BM -ALL- Stock'!M4,'BM -ALL- Stock'!M7,'BM -ALL- Stock'!M10,'BM -ALL- Stock'!M13,'BM -ALL- Stock'!M16,'BM -ALL- Stock'!M19,'BM -ALL- Stock'!M22,'BM -ALL- Stock'!M25,'BM -ALL- Stock'!M28,'BM -ALL- Stock'!M31,'L - All'!M4,'L - All'!M7,'L - All'!M10,'L - All'!M13,'L - All'!M16,'L - All'!M19,'L - All'!M22,'L - All'!M25,'L - All'!M28,'L - All'!M31,'M - All'!M4,'M - All'!M7,'M - All'!M10,'M - All'!M13,'M - All'!M16,'M - All'!M19,'M - All'!M22,'M - All'!M25,'M - All'!M28,'HW - All'!M4,'HW - All'!M7,'HW - All'!M10,'HW - All'!M13,'HW - All'!M16,'HW - All'!M19,'HW - All'!M22,'HW - All'!M25,'HW - All'!M28,'HW - All'!M31,'HW - All'!M34,'HW - All'!M37,'HW - All'!M40,'HW - All'!M43,'HW - All'!M46,'HW - All'!M49,'P - All'!M4,'P - All'!M10,'OL - All'!M4,'OL - All'!M7,'OL - All'!M10,'OL - All'!M13,'OL - All'!M16,'OL - All'!M22)), 3)</f>
        <v>0.29699999999999999</v>
      </c>
      <c r="AA21" s="13">
        <f t="shared" si="0"/>
        <v>16228548</v>
      </c>
      <c r="AB21" s="13">
        <f>SUM(AB3,AB6,AB9,AB12,AB15,AB18)</f>
        <v>2355225.3199999998</v>
      </c>
      <c r="AC21" s="13">
        <f t="shared" si="0"/>
        <v>1157010.33</v>
      </c>
      <c r="AD21" s="13">
        <f t="shared" si="0"/>
        <v>1198214.9900000002</v>
      </c>
      <c r="AE21" s="13">
        <f t="shared" si="0"/>
        <v>0</v>
      </c>
      <c r="AF21" s="13">
        <f t="shared" si="0"/>
        <v>11646387.350000001</v>
      </c>
      <c r="AG21" s="13">
        <f t="shared" si="0"/>
        <v>11533248.490000002</v>
      </c>
      <c r="AH21" s="13">
        <f t="shared" si="0"/>
        <v>16264622.969999999</v>
      </c>
      <c r="AI21" s="13">
        <f t="shared" si="0"/>
        <v>4731374.4800000014</v>
      </c>
      <c r="AJ21" s="110">
        <f>1-(AG21/AH21)</f>
        <v>0.29089973304189032</v>
      </c>
      <c r="AK21" s="110">
        <f>ROUND((1 - SUM('BM -ALL- Stock'!S2,'BM -ALL- Stock'!S5,'BM -ALL- Stock'!S8,'BM -ALL- Stock'!S11,'BM -ALL- Stock'!S14,'BM -ALL- Stock'!S17,'BM -ALL- Stock'!S20,'BM -ALL- Stock'!S23,'BM -ALL- Stock'!S26,'BM -ALL- Stock'!S29,'L - All'!S2,'L - All'!S5,'L - All'!S8,'L - All'!S11,'L - All'!S14,'L - All'!S17,'L - All'!S20,'L - All'!S23,'L - All'!S26,'L - All'!S29,'M - All'!S2,'M - All'!S5,'M - All'!S8,'M - All'!S11,'M - All'!S14,'M - All'!S17,'M - All'!S20,'M - All'!S23,'M - All'!S26,'HW - All'!S2,'HW - All'!S5,'HW - All'!S8,'HW - All'!S11,'HW - All'!S14,'HW - All'!S17,'HW - All'!S20,'HW - All'!S23,'HW - All'!S26,'HW - All'!S29,'HW - All'!S32,'HW - All'!S35,'HW - All'!S38,'HW - All'!S41,'HW - All'!S44,'HW - All'!S47,'P - All'!S2,'P - All'!S8,'OL - All'!S2,'OL - All'!S5,'OL - All'!S8,'OL - All'!S11,'OL - All'!S14,'OL - All'!S20) / SUM('BM -ALL- Stock'!T2,'BM -ALL- Stock'!T5,'BM -ALL- Stock'!T8,'BM -ALL- Stock'!T11,'BM -ALL- Stock'!T14,'BM -ALL- Stock'!T17,'BM -ALL- Stock'!T20,'BM -ALL- Stock'!T23,'BM -ALL- Stock'!T26,'BM -ALL- Stock'!T29,'L - All'!T2,'L - All'!T5,'L - All'!T8,'L - All'!T11,'L - All'!T14,'L - All'!T17,'L - All'!T20,'L - All'!T23,'L - All'!T26,'L - All'!T29,'M - All'!T2,'M - All'!T5,'M - All'!T8,'M - All'!T11,'M - All'!T14,'M - All'!T17,'M - All'!T20,'M - All'!T23,'M - All'!T26,'HW - All'!T2,'HW - All'!T5,'HW - All'!T8,'HW - All'!T11,'HW - All'!T14,'HW - All'!T17,'HW - All'!T20,'HW - All'!T23,'HW - All'!T26,'HW - All'!T29,'HW - All'!T32,'HW - All'!T35,'HW - All'!T38,'HW - All'!T41,'HW - All'!T44,'HW - All'!T47,'P - All'!T2,'P - All'!T8,'OL - All'!T2,'OL - All'!T5,'OL - All'!T8,'OL - All'!T11,'OL - All'!T14,'OL - All'!T20)), 3)</f>
        <v>0.34200000000000003</v>
      </c>
      <c r="AL21" s="110">
        <f>ROUND((1 - SUM('BM -ALL- Stock'!S3,'BM -ALL- Stock'!S6,'BM -ALL- Stock'!S9,'BM -ALL- Stock'!S12,'BM -ALL- Stock'!S15,'BM -ALL- Stock'!S18,'BM -ALL- Stock'!S21,'BM -ALL- Stock'!S24,'BM -ALL- Stock'!S27,'BM -ALL- Stock'!S30,'L - All'!S3,'L - All'!S6,'L - All'!S9,'L - All'!S12,'L - All'!S15,'L - All'!S18,'L - All'!S21,'L - All'!S24,'L - All'!S27,'L - All'!S30,'M - All'!S3,'M - All'!S6,'M - All'!S9,'M - All'!S12,'M - All'!S15,'M - All'!S18,'M - All'!S21,'M - All'!S24,'M - All'!S27,'HW - All'!S3,'HW - All'!S6,'HW - All'!S9,'HW - All'!S12,'HW - All'!S15,'HW - All'!S18,'HW - All'!S21,'HW - All'!S24,'HW - All'!S27,'HW - All'!S30,'HW - All'!S33,'HW - All'!S36,'HW - All'!S39,'HW - All'!S42,'HW - All'!S45,'HW - All'!S48,'P - All'!S3,'P - All'!S9,'OL - All'!S3,'OL - All'!S6,'OL - All'!S9,'OL - All'!S12,'OL - All'!S15,'OL - All'!S21) / SUM('BM -ALL- Stock'!T3,'BM -ALL- Stock'!T6,'BM -ALL- Stock'!T9,'BM -ALL- Stock'!T12,'BM -ALL- Stock'!T15,'BM -ALL- Stock'!T18,'BM -ALL- Stock'!T21,'BM -ALL- Stock'!T24,'BM -ALL- Stock'!T27,'BM -ALL- Stock'!T30,'L - All'!T3,'L - All'!T6,'L - All'!T9,'L - All'!T12,'L - All'!T15,'L - All'!T18,'L - All'!T21,'L - All'!T24,'L - All'!T27,'L - All'!T30,'M - All'!T3,'M - All'!T6,'M - All'!T9,'M - All'!T12,'M - All'!T15,'M - All'!T18,'M - All'!T21,'M - All'!T24,'M - All'!T27,'HW - All'!T3,'HW - All'!T6,'HW - All'!T9,'HW - All'!T12,'HW - All'!T15,'HW - All'!T18,'HW - All'!T21,'HW - All'!T24,'HW - All'!T27,'HW - All'!T30,'HW - All'!T33,'HW - All'!T36,'HW - All'!T39,'HW - All'!T42,'HW - All'!T45,'HW - All'!T48,'P - All'!T3,'P - All'!T9,'OL - All'!T3,'OL - All'!T6,'OL - All'!T9,'OL - All'!T12,'OL - All'!T15,'OL - All'!T21)), 3)</f>
        <v>0.249</v>
      </c>
      <c r="AM21" s="135" t="e">
        <f>ROUND((1 - SUM('BM -ALL- Stock'!S4,'BM -ALL- Stock'!S7,'BM -ALL- Stock'!S10,'BM -ALL- Stock'!S13,'BM -ALL- Stock'!S16,'BM -ALL- Stock'!S19,'BM -ALL- Stock'!S22,'BM -ALL- Stock'!S25,'BM -ALL- Stock'!S28,'BM -ALL- Stock'!S31,'L - All'!S4,'L - All'!S7,'L - All'!S10,'L - All'!S13,'L - All'!S16,'L - All'!S19,'L - All'!S22,'L - All'!S25,'L - All'!S28,'L - All'!S31,'M - All'!S4,'M - All'!S7,'M - All'!S10,'M - All'!S13,'M - All'!S16,'M - All'!S19,'M - All'!S22,'M - All'!S25,'M - All'!S28,'HW - All'!S4,'HW - All'!S7,'HW - All'!S10,'HW - All'!S13,'HW - All'!S16,'HW - All'!S19,'HW - All'!S22,'HW - All'!S25,'HW - All'!S28,'HW - All'!S31,'HW - All'!S34,'HW - All'!S37,'HW - All'!S40,'HW - All'!S43,'HW - All'!S46,'HW - All'!S49,'P - All'!S4,'P - All'!S10,'OL - All'!S4,'OL - All'!S7,'OL - All'!S10,'OL - All'!S13,'OL - All'!S16,'OL - All'!S22) / SUM('BM -ALL- Stock'!T4,'BM -ALL- Stock'!T7,'BM -ALL- Stock'!T10,'BM -ALL- Stock'!T13,'BM -ALL- Stock'!T16,'BM -ALL- Stock'!T19,'BM -ALL- Stock'!T22,'BM -ALL- Stock'!T25,'BM -ALL- Stock'!T28,'BM -ALL- Stock'!T31,'L - All'!T4,'L - All'!T7,'L - All'!T10,'L - All'!T13,'L - All'!T16,'L - All'!T19,'L - All'!T22,'L - All'!T25,'L - All'!T28,'L - All'!T31,'M - All'!T4,'M - All'!T7,'M - All'!T10,'M - All'!T13,'M - All'!T16,'M - All'!T19,'M - All'!T22,'M - All'!T25,'M - All'!T28,'HW - All'!T4,'HW - All'!T7,'HW - All'!T10,'HW - All'!T13,'HW - All'!T16,'HW - All'!T19,'HW - All'!T22,'HW - All'!T25,'HW - All'!T28,'HW - All'!T31,'HW - All'!T34,'HW - All'!T37,'HW - All'!T40,'HW - All'!T43,'HW - All'!T46,'HW - All'!T49,'P - All'!T4,'P - All'!T10,'OL - All'!T4,'OL - All'!T7,'OL - All'!T10,'OL - All'!T13,'OL - All'!T16,'OL - All'!T22)), 3)</f>
        <v>#DIV/0!</v>
      </c>
      <c r="AN21" s="141">
        <f>SUM(AN3:AN20)</f>
        <v>2478075.92</v>
      </c>
      <c r="AO21" s="141">
        <f t="shared" ref="AO21:AP21" si="1">SUM(AO3:AO20)</f>
        <v>1116000</v>
      </c>
      <c r="AP21" s="141">
        <f t="shared" si="1"/>
        <v>195057.94000000018</v>
      </c>
    </row>
    <row r="22" spans="1:43" x14ac:dyDescent="0.25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</row>
    <row r="23" spans="1:43" x14ac:dyDescent="0.25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43" x14ac:dyDescent="0.2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</row>
    <row r="25" spans="1:43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43" ht="16.5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</row>
    <row r="27" spans="1:43" ht="16.5" x14ac:dyDescent="0.25">
      <c r="A27" s="11"/>
      <c r="B27" s="11"/>
      <c r="C27" s="11"/>
      <c r="D27" s="11"/>
      <c r="E27" s="123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</row>
    <row r="66" spans="4:4" x14ac:dyDescent="0.25">
      <c r="D66" s="123"/>
    </row>
  </sheetData>
  <mergeCells count="1">
    <mergeCell ref="A1:AM1"/>
  </mergeCells>
  <pageMargins left="0.25" right="0.25" top="0.75" bottom="0.75" header="0.3" footer="0.3"/>
  <pageSetup scale="32" orientation="landscape" horizontalDpi="4294967295" verticalDpi="4294967295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A9409-9A7D-42C8-81EE-5B1B50B19D5D}">
  <sheetPr>
    <tabColor theme="9" tint="0.39997558519241921"/>
  </sheetPr>
  <dimension ref="A1:V47"/>
  <sheetViews>
    <sheetView zoomScale="90" zoomScaleNormal="90" workbookViewId="0">
      <pane ySplit="1" topLeftCell="A17" activePane="bottomLeft" state="frozen"/>
      <selection pane="bottomLeft" activeCell="C48" sqref="C48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4.285156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4.28515625" bestFit="1" customWidth="1"/>
    <col min="15" max="15" width="8.710937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4.28515625" bestFit="1" customWidth="1"/>
    <col min="22" max="22" width="8.7109375" style="78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39" t="s">
        <v>46</v>
      </c>
      <c r="B2" s="40" t="s">
        <v>79</v>
      </c>
      <c r="C2" s="68" cm="1">
        <f t="array" ref="C2:V43">'HW - All'!C2:V43</f>
        <v>5.389553330187006</v>
      </c>
      <c r="D2" s="79">
        <v>29586.73</v>
      </c>
      <c r="E2" s="79">
        <v>69224.39</v>
      </c>
      <c r="F2" s="79">
        <v>65875.73</v>
      </c>
      <c r="G2" s="79">
        <v>109401.2</v>
      </c>
      <c r="H2" s="79">
        <v>43525.47</v>
      </c>
      <c r="I2" s="80">
        <v>0.39800000000000002</v>
      </c>
      <c r="J2" s="79">
        <v>28806.16</v>
      </c>
      <c r="K2" s="79">
        <v>70811.13</v>
      </c>
      <c r="L2" s="79">
        <v>66415.17</v>
      </c>
      <c r="M2" s="79">
        <v>110717.82</v>
      </c>
      <c r="N2" s="79">
        <v>44302.65</v>
      </c>
      <c r="O2" s="80">
        <v>0.4</v>
      </c>
      <c r="P2" s="79">
        <v>109310</v>
      </c>
      <c r="Q2" s="79">
        <v>27736.34</v>
      </c>
      <c r="R2" s="79">
        <v>70153.09</v>
      </c>
      <c r="S2" s="79">
        <v>65281.48</v>
      </c>
      <c r="T2" s="79">
        <v>112325.27</v>
      </c>
      <c r="U2" s="79">
        <v>47043.79</v>
      </c>
      <c r="V2" s="80">
        <v>0.41899999999999998</v>
      </c>
    </row>
    <row r="3" spans="1:22" x14ac:dyDescent="0.25">
      <c r="A3" s="41" t="s">
        <v>48</v>
      </c>
      <c r="B3" s="42" t="s">
        <v>79</v>
      </c>
      <c r="C3" s="68">
        <v>14.992787499206994</v>
      </c>
      <c r="D3" s="79">
        <v>17133.87</v>
      </c>
      <c r="E3" s="79">
        <v>12033.39</v>
      </c>
      <c r="F3" s="79">
        <v>13713.69</v>
      </c>
      <c r="G3" s="79">
        <v>20900.8</v>
      </c>
      <c r="H3" s="79">
        <v>7187.11</v>
      </c>
      <c r="I3" s="80">
        <v>0.34399999999999997</v>
      </c>
      <c r="J3" s="79">
        <v>18923.59</v>
      </c>
      <c r="K3" s="79">
        <v>15696.54</v>
      </c>
      <c r="L3" s="79">
        <v>12453.26</v>
      </c>
      <c r="M3" s="79">
        <v>19984.5</v>
      </c>
      <c r="N3" s="79">
        <v>7531.24</v>
      </c>
      <c r="O3" s="80">
        <v>0.377</v>
      </c>
      <c r="P3" s="79">
        <v>20904</v>
      </c>
      <c r="Q3" s="79">
        <v>9892.69</v>
      </c>
      <c r="R3" s="79">
        <v>13675.2</v>
      </c>
      <c r="S3" s="79">
        <v>13230.19</v>
      </c>
      <c r="T3" s="79">
        <v>22369.22</v>
      </c>
      <c r="U3" s="79">
        <v>9139.0300000000007</v>
      </c>
      <c r="V3" s="80">
        <v>0.40899999999999997</v>
      </c>
    </row>
    <row r="4" spans="1:22" x14ac:dyDescent="0.25">
      <c r="A4" s="41" t="s">
        <v>49</v>
      </c>
      <c r="B4" s="42" t="s">
        <v>79</v>
      </c>
      <c r="C4" s="68">
        <v>22.340838918593271</v>
      </c>
      <c r="D4" s="79">
        <v>247.22</v>
      </c>
      <c r="E4" s="79">
        <v>236.12</v>
      </c>
      <c r="F4" s="79">
        <v>132.79</v>
      </c>
      <c r="G4" s="79">
        <v>222.13</v>
      </c>
      <c r="H4" s="79">
        <v>89.34</v>
      </c>
      <c r="I4" s="80">
        <v>0.40200000000000002</v>
      </c>
      <c r="J4" s="79">
        <v>251.02</v>
      </c>
      <c r="K4" s="79">
        <v>1319.74</v>
      </c>
      <c r="L4" s="79">
        <v>179.73</v>
      </c>
      <c r="M4" s="79">
        <v>271.69</v>
      </c>
      <c r="N4" s="79">
        <v>91.96</v>
      </c>
      <c r="O4" s="80">
        <v>0.33800000000000002</v>
      </c>
      <c r="P4" s="79">
        <v>222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v>0</v>
      </c>
    </row>
    <row r="5" spans="1:22" x14ac:dyDescent="0.25">
      <c r="A5" s="18" t="s">
        <v>46</v>
      </c>
      <c r="B5" s="19" t="s">
        <v>80</v>
      </c>
      <c r="C5" s="69">
        <v>6.3228589543888996</v>
      </c>
      <c r="D5" s="32">
        <v>116718.58</v>
      </c>
      <c r="E5" s="32">
        <v>227882.07</v>
      </c>
      <c r="F5" s="32">
        <v>221517.35</v>
      </c>
      <c r="G5" s="32">
        <v>332540.53999999998</v>
      </c>
      <c r="H5" s="32">
        <v>111023.19</v>
      </c>
      <c r="I5" s="81">
        <v>0.33400000000000002</v>
      </c>
      <c r="J5" s="32">
        <v>135090.46</v>
      </c>
      <c r="K5" s="32">
        <v>270665.73</v>
      </c>
      <c r="L5" s="32">
        <v>265998.53999999998</v>
      </c>
      <c r="M5" s="32">
        <v>392130.04</v>
      </c>
      <c r="N5" s="32">
        <v>126131.5</v>
      </c>
      <c r="O5" s="81">
        <v>0.32200000000000001</v>
      </c>
      <c r="P5" s="32">
        <v>332582</v>
      </c>
      <c r="Q5" s="32">
        <v>138607.53</v>
      </c>
      <c r="R5" s="32">
        <v>245283.98</v>
      </c>
      <c r="S5" s="32">
        <v>272493.69</v>
      </c>
      <c r="T5" s="32">
        <v>404342.63</v>
      </c>
      <c r="U5" s="32">
        <v>131848.94</v>
      </c>
      <c r="V5" s="81">
        <v>0.32600000000000001</v>
      </c>
    </row>
    <row r="6" spans="1:22" x14ac:dyDescent="0.25">
      <c r="A6" s="18" t="s">
        <v>48</v>
      </c>
      <c r="B6" s="19" t="s">
        <v>80</v>
      </c>
      <c r="C6" s="69">
        <v>17.653427020517196</v>
      </c>
      <c r="D6" s="32">
        <v>43682.14</v>
      </c>
      <c r="E6" s="32">
        <v>32446.61</v>
      </c>
      <c r="F6" s="32">
        <v>29693.14</v>
      </c>
      <c r="G6" s="32">
        <v>44985.46</v>
      </c>
      <c r="H6" s="32">
        <v>15292.32</v>
      </c>
      <c r="I6" s="81">
        <v>0.34</v>
      </c>
      <c r="J6" s="32">
        <v>45053.16</v>
      </c>
      <c r="K6" s="32">
        <v>30659.65</v>
      </c>
      <c r="L6" s="32">
        <v>32189.29</v>
      </c>
      <c r="M6" s="32">
        <v>48427.839999999997</v>
      </c>
      <c r="N6" s="32">
        <v>16238.55</v>
      </c>
      <c r="O6" s="81">
        <v>0.33500000000000002</v>
      </c>
      <c r="P6" s="32">
        <v>44976</v>
      </c>
      <c r="Q6" s="32">
        <v>43702.86</v>
      </c>
      <c r="R6" s="32">
        <v>38028.25</v>
      </c>
      <c r="S6" s="32">
        <v>35049.97</v>
      </c>
      <c r="T6" s="32">
        <v>53384</v>
      </c>
      <c r="U6" s="32">
        <v>18334.03</v>
      </c>
      <c r="V6" s="81">
        <v>0.34300000000000003</v>
      </c>
    </row>
    <row r="7" spans="1:22" x14ac:dyDescent="0.25">
      <c r="A7" s="18" t="s">
        <v>49</v>
      </c>
      <c r="B7" s="19" t="s">
        <v>80</v>
      </c>
      <c r="C7" s="69">
        <v>6.634666196935</v>
      </c>
      <c r="D7" s="32">
        <v>376.65</v>
      </c>
      <c r="E7" s="32">
        <v>685.34</v>
      </c>
      <c r="F7" s="32">
        <v>681.24</v>
      </c>
      <c r="G7" s="32">
        <v>756.95</v>
      </c>
      <c r="H7" s="32">
        <v>75.709999999999994</v>
      </c>
      <c r="I7" s="81">
        <v>0.1</v>
      </c>
      <c r="J7" s="32">
        <v>3389.77</v>
      </c>
      <c r="K7" s="32">
        <v>4181.88</v>
      </c>
      <c r="L7" s="32">
        <v>1124.69</v>
      </c>
      <c r="M7" s="32">
        <v>1540.89</v>
      </c>
      <c r="N7" s="32">
        <v>416.2</v>
      </c>
      <c r="O7" s="81">
        <v>0.27</v>
      </c>
      <c r="P7" s="32">
        <v>757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v>0</v>
      </c>
    </row>
    <row r="8" spans="1:22" x14ac:dyDescent="0.25">
      <c r="A8" s="20" t="s">
        <v>46</v>
      </c>
      <c r="B8" s="21" t="s">
        <v>81</v>
      </c>
      <c r="C8" s="70">
        <v>3.3504093507056329</v>
      </c>
      <c r="D8" s="33">
        <v>108388.85</v>
      </c>
      <c r="E8" s="33">
        <v>391115.67</v>
      </c>
      <c r="F8" s="33">
        <v>388211.13</v>
      </c>
      <c r="G8" s="33">
        <v>688458.55</v>
      </c>
      <c r="H8" s="33">
        <v>300247.42</v>
      </c>
      <c r="I8" s="82">
        <v>0.436</v>
      </c>
      <c r="J8" s="33">
        <v>90607.09</v>
      </c>
      <c r="K8" s="33">
        <v>383502.07</v>
      </c>
      <c r="L8" s="33">
        <v>383390.09</v>
      </c>
      <c r="M8" s="33">
        <v>694583.24</v>
      </c>
      <c r="N8" s="33">
        <v>311193.15000000002</v>
      </c>
      <c r="O8" s="82">
        <v>0.44800000000000001</v>
      </c>
      <c r="P8" s="33">
        <v>688513</v>
      </c>
      <c r="Q8" s="33">
        <v>90710.05</v>
      </c>
      <c r="R8" s="33">
        <v>375901.19</v>
      </c>
      <c r="S8" s="33">
        <v>402419.55</v>
      </c>
      <c r="T8" s="33">
        <v>706840.3</v>
      </c>
      <c r="U8" s="33">
        <v>304420.75</v>
      </c>
      <c r="V8" s="82">
        <v>0.43099999999999999</v>
      </c>
    </row>
    <row r="9" spans="1:22" x14ac:dyDescent="0.25">
      <c r="A9" s="20" t="s">
        <v>48</v>
      </c>
      <c r="B9" s="21" t="s">
        <v>81</v>
      </c>
      <c r="C9" s="70">
        <v>7.0669597091554861</v>
      </c>
      <c r="D9" s="33">
        <v>88025.42</v>
      </c>
      <c r="E9" s="33">
        <v>144493.74</v>
      </c>
      <c r="F9" s="33">
        <v>149470.93</v>
      </c>
      <c r="G9" s="33">
        <v>254451.7</v>
      </c>
      <c r="H9" s="33">
        <v>104980.77</v>
      </c>
      <c r="I9" s="82">
        <v>0.41299999999999998</v>
      </c>
      <c r="J9" s="33">
        <v>91378.3</v>
      </c>
      <c r="K9" s="33">
        <v>181558.21</v>
      </c>
      <c r="L9" s="33">
        <v>154699.89000000001</v>
      </c>
      <c r="M9" s="33">
        <v>266277.49</v>
      </c>
      <c r="N9" s="33">
        <v>111577.60000000001</v>
      </c>
      <c r="O9" s="82">
        <v>0.41899999999999998</v>
      </c>
      <c r="P9" s="33">
        <v>254486</v>
      </c>
      <c r="Q9" s="33">
        <v>68363.17</v>
      </c>
      <c r="R9" s="33">
        <v>149615.96</v>
      </c>
      <c r="S9" s="33">
        <v>151304.60999999999</v>
      </c>
      <c r="T9" s="33">
        <v>253087.82</v>
      </c>
      <c r="U9" s="33">
        <v>101783.21</v>
      </c>
      <c r="V9" s="82">
        <v>0.40200000000000002</v>
      </c>
    </row>
    <row r="10" spans="1:22" x14ac:dyDescent="0.25">
      <c r="A10" s="20" t="s">
        <v>49</v>
      </c>
      <c r="B10" s="21" t="s">
        <v>81</v>
      </c>
      <c r="C10" s="70" t="e">
        <v>#DIV/0!</v>
      </c>
      <c r="D10" s="33">
        <v>32.4</v>
      </c>
      <c r="E10" s="33">
        <v>0</v>
      </c>
      <c r="F10" s="33">
        <v>0</v>
      </c>
      <c r="G10" s="33">
        <v>0</v>
      </c>
      <c r="H10" s="33">
        <v>0</v>
      </c>
      <c r="I10" s="82">
        <v>0</v>
      </c>
      <c r="J10" s="33">
        <v>36.229999999999997</v>
      </c>
      <c r="K10" s="33">
        <v>194.9</v>
      </c>
      <c r="L10" s="33">
        <v>95.95</v>
      </c>
      <c r="M10" s="33">
        <v>132.99</v>
      </c>
      <c r="N10" s="33">
        <v>37.04</v>
      </c>
      <c r="O10" s="82">
        <v>0.27900000000000003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v>0</v>
      </c>
    </row>
    <row r="11" spans="1:22" x14ac:dyDescent="0.25">
      <c r="A11" s="22" t="s">
        <v>46</v>
      </c>
      <c r="B11" s="23" t="s">
        <v>82</v>
      </c>
      <c r="C11" s="71">
        <v>3.8841872372153787</v>
      </c>
      <c r="D11" s="34">
        <v>66124.41</v>
      </c>
      <c r="E11" s="34">
        <v>190827.59</v>
      </c>
      <c r="F11" s="34">
        <v>204288.02</v>
      </c>
      <c r="G11" s="34">
        <v>322385.36</v>
      </c>
      <c r="H11" s="34">
        <v>118097.34</v>
      </c>
      <c r="I11" s="83">
        <v>0.36599999999999999</v>
      </c>
      <c r="J11" s="34">
        <v>63469.5</v>
      </c>
      <c r="K11" s="34">
        <v>199102.79</v>
      </c>
      <c r="L11" s="34">
        <v>202780.21</v>
      </c>
      <c r="M11" s="34">
        <v>318155.31</v>
      </c>
      <c r="N11" s="34">
        <v>115375.1</v>
      </c>
      <c r="O11" s="83">
        <v>0.36299999999999999</v>
      </c>
      <c r="P11" s="34">
        <v>322420</v>
      </c>
      <c r="Q11" s="34">
        <v>55113.34</v>
      </c>
      <c r="R11" s="34">
        <v>202514.99</v>
      </c>
      <c r="S11" s="34">
        <v>217270.53</v>
      </c>
      <c r="T11" s="34">
        <v>349494.22</v>
      </c>
      <c r="U11" s="34">
        <v>132223.69</v>
      </c>
      <c r="V11" s="83">
        <v>0.378</v>
      </c>
    </row>
    <row r="12" spans="1:22" x14ac:dyDescent="0.25">
      <c r="A12" s="22" t="s">
        <v>48</v>
      </c>
      <c r="B12" s="23" t="s">
        <v>82</v>
      </c>
      <c r="C12" s="71">
        <v>10.631183835068837</v>
      </c>
      <c r="D12" s="34">
        <v>52737.21</v>
      </c>
      <c r="E12" s="34">
        <v>77055.12</v>
      </c>
      <c r="F12" s="34">
        <v>59527.38</v>
      </c>
      <c r="G12" s="34">
        <v>77635.8</v>
      </c>
      <c r="H12" s="34">
        <v>18108.419999999998</v>
      </c>
      <c r="I12" s="83">
        <v>0.23300000000000001</v>
      </c>
      <c r="J12" s="34">
        <v>28554.9</v>
      </c>
      <c r="K12" s="34">
        <v>34948.71</v>
      </c>
      <c r="L12" s="34">
        <v>42290.99</v>
      </c>
      <c r="M12" s="34">
        <v>55779.75</v>
      </c>
      <c r="N12" s="34">
        <v>13488.76</v>
      </c>
      <c r="O12" s="83">
        <v>0.24199999999999999</v>
      </c>
      <c r="P12" s="34">
        <v>77641</v>
      </c>
      <c r="Q12" s="34">
        <v>23723.74</v>
      </c>
      <c r="R12" s="34">
        <v>91143.83</v>
      </c>
      <c r="S12" s="34">
        <v>66240.45</v>
      </c>
      <c r="T12" s="34">
        <v>86561.17</v>
      </c>
      <c r="U12" s="34">
        <v>20320.72</v>
      </c>
      <c r="V12" s="83">
        <v>0.23499999999999999</v>
      </c>
    </row>
    <row r="13" spans="1:22" x14ac:dyDescent="0.25">
      <c r="A13" s="22" t="s">
        <v>49</v>
      </c>
      <c r="B13" s="23" t="s">
        <v>82</v>
      </c>
      <c r="C13" s="71">
        <v>54.195406773063453</v>
      </c>
      <c r="D13" s="34">
        <v>348.07</v>
      </c>
      <c r="E13" s="34">
        <v>94.19</v>
      </c>
      <c r="F13" s="34">
        <v>77.069999999999993</v>
      </c>
      <c r="G13" s="34">
        <v>108.96</v>
      </c>
      <c r="H13" s="34">
        <v>31.89</v>
      </c>
      <c r="I13" s="83">
        <v>0.29299999999999998</v>
      </c>
      <c r="J13" s="34">
        <v>256</v>
      </c>
      <c r="K13" s="34">
        <v>433.83</v>
      </c>
      <c r="L13" s="34">
        <v>82.69</v>
      </c>
      <c r="M13" s="34">
        <v>135.53</v>
      </c>
      <c r="N13" s="34">
        <v>52.84</v>
      </c>
      <c r="O13" s="83">
        <v>0.39</v>
      </c>
      <c r="P13" s="34">
        <v>109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v>0</v>
      </c>
    </row>
    <row r="14" spans="1:22" x14ac:dyDescent="0.25">
      <c r="A14" s="24" t="s">
        <v>46</v>
      </c>
      <c r="B14" s="25" t="s">
        <v>83</v>
      </c>
      <c r="C14" s="72">
        <v>6.7298216517582707</v>
      </c>
      <c r="D14" s="35">
        <v>33801.32</v>
      </c>
      <c r="E14" s="35">
        <v>60682.25</v>
      </c>
      <c r="F14" s="35">
        <v>60271.41</v>
      </c>
      <c r="G14" s="35">
        <v>109373.2</v>
      </c>
      <c r="H14" s="35">
        <v>49101.79</v>
      </c>
      <c r="I14" s="84">
        <v>0.44900000000000001</v>
      </c>
      <c r="J14" s="35">
        <v>23686.52</v>
      </c>
      <c r="K14" s="35">
        <v>38423.86</v>
      </c>
      <c r="L14" s="35">
        <v>39031.43</v>
      </c>
      <c r="M14" s="35">
        <v>70204.27</v>
      </c>
      <c r="N14" s="35">
        <v>31172.84</v>
      </c>
      <c r="O14" s="84">
        <v>0.44400000000000001</v>
      </c>
      <c r="P14" s="35">
        <v>109413</v>
      </c>
      <c r="Q14" s="35">
        <v>25576.98</v>
      </c>
      <c r="R14" s="35">
        <v>50432.79</v>
      </c>
      <c r="S14" s="35">
        <v>58230.66</v>
      </c>
      <c r="T14" s="35">
        <v>101666.03</v>
      </c>
      <c r="U14" s="35">
        <v>43435.37</v>
      </c>
      <c r="V14" s="84">
        <v>0.42699999999999999</v>
      </c>
    </row>
    <row r="15" spans="1:22" x14ac:dyDescent="0.25">
      <c r="A15" s="24" t="s">
        <v>48</v>
      </c>
      <c r="B15" s="25" t="s">
        <v>83</v>
      </c>
      <c r="C15" s="72">
        <v>70.757303241407101</v>
      </c>
      <c r="D15" s="35">
        <v>40966.120000000003</v>
      </c>
      <c r="E15" s="35">
        <v>-166.26</v>
      </c>
      <c r="F15" s="35">
        <v>6947.6</v>
      </c>
      <c r="G15" s="35">
        <v>11784.15</v>
      </c>
      <c r="H15" s="35">
        <v>4836.55</v>
      </c>
      <c r="I15" s="84">
        <v>0.41</v>
      </c>
      <c r="J15" s="35">
        <v>22112.400000000001</v>
      </c>
      <c r="K15" s="35">
        <v>14845.42</v>
      </c>
      <c r="L15" s="35">
        <v>2484.96</v>
      </c>
      <c r="M15" s="35">
        <v>4155.1400000000003</v>
      </c>
      <c r="N15" s="35">
        <v>1670.18</v>
      </c>
      <c r="O15" s="84">
        <v>0.40200000000000002</v>
      </c>
      <c r="P15" s="35">
        <v>11788</v>
      </c>
      <c r="Q15" s="35">
        <v>5533.41</v>
      </c>
      <c r="R15" s="35">
        <v>2216.4</v>
      </c>
      <c r="S15" s="35">
        <v>1199.95</v>
      </c>
      <c r="T15" s="35">
        <v>2218.59</v>
      </c>
      <c r="U15" s="35">
        <v>1018.64</v>
      </c>
      <c r="V15" s="84">
        <v>0.45900000000000002</v>
      </c>
    </row>
    <row r="16" spans="1:22" x14ac:dyDescent="0.25">
      <c r="A16" s="24" t="s">
        <v>49</v>
      </c>
      <c r="B16" s="25" t="s">
        <v>83</v>
      </c>
      <c r="C16" s="72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v>0</v>
      </c>
      <c r="J16" s="35">
        <v>-82.5</v>
      </c>
      <c r="K16" s="35">
        <v>-86.4</v>
      </c>
      <c r="L16" s="35">
        <v>0</v>
      </c>
      <c r="M16" s="35">
        <v>0</v>
      </c>
      <c r="N16" s="35">
        <v>0</v>
      </c>
      <c r="O16" s="84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v>0</v>
      </c>
    </row>
    <row r="17" spans="1:22" x14ac:dyDescent="0.25">
      <c r="A17" s="26" t="s">
        <v>46</v>
      </c>
      <c r="B17" s="27" t="s">
        <v>84</v>
      </c>
      <c r="C17" s="73">
        <v>15.094573796299883</v>
      </c>
      <c r="D17" s="36">
        <v>39287.49</v>
      </c>
      <c r="E17" s="36">
        <v>27682.84</v>
      </c>
      <c r="F17" s="36">
        <v>31233.07</v>
      </c>
      <c r="G17" s="36">
        <v>62783.91</v>
      </c>
      <c r="H17" s="36">
        <v>31550.84</v>
      </c>
      <c r="I17" s="85">
        <v>0.503</v>
      </c>
      <c r="J17" s="36">
        <v>29851.22</v>
      </c>
      <c r="K17" s="36">
        <v>37407.769999999997</v>
      </c>
      <c r="L17" s="36">
        <v>22389.89</v>
      </c>
      <c r="M17" s="36">
        <v>43468.29</v>
      </c>
      <c r="N17" s="36">
        <v>21078.400000000001</v>
      </c>
      <c r="O17" s="85">
        <v>0.48499999999999999</v>
      </c>
      <c r="P17" s="36">
        <v>62836</v>
      </c>
      <c r="Q17" s="36">
        <v>16379.19</v>
      </c>
      <c r="R17" s="36">
        <v>24025.439999999999</v>
      </c>
      <c r="S17" s="36">
        <v>27766.04</v>
      </c>
      <c r="T17" s="36">
        <v>52270.22</v>
      </c>
      <c r="U17" s="36">
        <v>24504.18</v>
      </c>
      <c r="V17" s="85">
        <v>0.46899999999999997</v>
      </c>
    </row>
    <row r="18" spans="1:22" x14ac:dyDescent="0.25">
      <c r="A18" s="26" t="s">
        <v>48</v>
      </c>
      <c r="B18" s="27" t="s">
        <v>84</v>
      </c>
      <c r="C18" s="73">
        <v>62.782260985135473</v>
      </c>
      <c r="D18" s="36">
        <v>45506.1</v>
      </c>
      <c r="E18" s="36">
        <v>2456.5300000000002</v>
      </c>
      <c r="F18" s="36">
        <v>8697.89</v>
      </c>
      <c r="G18" s="36">
        <v>16881.63</v>
      </c>
      <c r="H18" s="36">
        <v>8183.74</v>
      </c>
      <c r="I18" s="85">
        <v>0.48499999999999999</v>
      </c>
      <c r="J18" s="36">
        <v>28834.12</v>
      </c>
      <c r="K18" s="36">
        <v>24443.759999999998</v>
      </c>
      <c r="L18" s="36">
        <v>4221</v>
      </c>
      <c r="M18" s="36">
        <v>8090.4</v>
      </c>
      <c r="N18" s="36">
        <v>3869.4</v>
      </c>
      <c r="O18" s="85">
        <v>0.47799999999999998</v>
      </c>
      <c r="P18" s="36">
        <v>16889</v>
      </c>
      <c r="Q18" s="36">
        <v>9805.42</v>
      </c>
      <c r="R18" s="36">
        <v>2142.58</v>
      </c>
      <c r="S18" s="36">
        <v>1932.65</v>
      </c>
      <c r="T18" s="36">
        <v>3908.98</v>
      </c>
      <c r="U18" s="36">
        <v>1976.33</v>
      </c>
      <c r="V18" s="85">
        <v>0.50600000000000001</v>
      </c>
    </row>
    <row r="19" spans="1:22" x14ac:dyDescent="0.25">
      <c r="A19" s="26" t="s">
        <v>49</v>
      </c>
      <c r="B19" s="27" t="s">
        <v>84</v>
      </c>
      <c r="C19" s="73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v>0</v>
      </c>
      <c r="J19" s="36">
        <v>689.74</v>
      </c>
      <c r="K19" s="36">
        <v>4846.67</v>
      </c>
      <c r="L19" s="36">
        <v>30.12</v>
      </c>
      <c r="M19" s="36">
        <v>45.56</v>
      </c>
      <c r="N19" s="36">
        <v>15.44</v>
      </c>
      <c r="O19" s="85">
        <v>0.33900000000000002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v>0</v>
      </c>
    </row>
    <row r="20" spans="1:22" x14ac:dyDescent="0.25">
      <c r="A20" s="28" t="s">
        <v>46</v>
      </c>
      <c r="B20" s="29" t="s">
        <v>85</v>
      </c>
      <c r="C20" s="74">
        <v>7.1028340863754025</v>
      </c>
      <c r="D20" s="37">
        <v>9551.4</v>
      </c>
      <c r="E20" s="37">
        <v>13525.64</v>
      </c>
      <c r="F20" s="37">
        <v>16136.77</v>
      </c>
      <c r="G20" s="37">
        <v>28204.2</v>
      </c>
      <c r="H20" s="37">
        <v>12067.43</v>
      </c>
      <c r="I20" s="86">
        <v>0.42799999999999999</v>
      </c>
      <c r="J20" s="37">
        <v>6169.99</v>
      </c>
      <c r="K20" s="37">
        <v>10540.8</v>
      </c>
      <c r="L20" s="37">
        <v>14401.61</v>
      </c>
      <c r="M20" s="37">
        <v>22246.18</v>
      </c>
      <c r="N20" s="37">
        <v>7844.57</v>
      </c>
      <c r="O20" s="86">
        <v>0.35299999999999998</v>
      </c>
      <c r="P20" s="37">
        <v>28214</v>
      </c>
      <c r="Q20" s="37">
        <v>5904.09</v>
      </c>
      <c r="R20" s="37">
        <v>10901.68</v>
      </c>
      <c r="S20" s="37">
        <v>12458.04</v>
      </c>
      <c r="T20" s="37">
        <v>22901.32</v>
      </c>
      <c r="U20" s="37">
        <v>10443.280000000001</v>
      </c>
      <c r="V20" s="86">
        <v>0.45600000000000002</v>
      </c>
    </row>
    <row r="21" spans="1:22" x14ac:dyDescent="0.25">
      <c r="A21" s="28" t="s">
        <v>48</v>
      </c>
      <c r="B21" s="29" t="s">
        <v>85</v>
      </c>
      <c r="C21" s="74">
        <v>26.421127225188464</v>
      </c>
      <c r="D21" s="37">
        <v>7208.3</v>
      </c>
      <c r="E21" s="37">
        <v>2184.64</v>
      </c>
      <c r="F21" s="37">
        <v>3273.88</v>
      </c>
      <c r="G21" s="37">
        <v>5349.63</v>
      </c>
      <c r="H21" s="37">
        <v>2075.75</v>
      </c>
      <c r="I21" s="86">
        <v>0.38800000000000001</v>
      </c>
      <c r="J21" s="37">
        <v>3650.78</v>
      </c>
      <c r="K21" s="37">
        <v>1915.93</v>
      </c>
      <c r="L21" s="37">
        <v>2235.44</v>
      </c>
      <c r="M21" s="37">
        <v>3859.61</v>
      </c>
      <c r="N21" s="37">
        <v>1624.17</v>
      </c>
      <c r="O21" s="86">
        <v>0.42099999999999999</v>
      </c>
      <c r="P21" s="37">
        <v>5349</v>
      </c>
      <c r="Q21" s="37">
        <v>1459.74</v>
      </c>
      <c r="R21" s="37">
        <v>308.08999999999997</v>
      </c>
      <c r="S21" s="37">
        <v>446.71</v>
      </c>
      <c r="T21" s="37">
        <v>944.32</v>
      </c>
      <c r="U21" s="37">
        <v>497.61</v>
      </c>
      <c r="V21" s="86">
        <v>0.52700000000000002</v>
      </c>
    </row>
    <row r="22" spans="1:22" x14ac:dyDescent="0.25">
      <c r="A22" s="28" t="s">
        <v>49</v>
      </c>
      <c r="B22" s="29" t="s">
        <v>85</v>
      </c>
      <c r="C22" s="74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86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86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v>0</v>
      </c>
    </row>
    <row r="23" spans="1:22" x14ac:dyDescent="0.25">
      <c r="A23" s="41" t="s">
        <v>46</v>
      </c>
      <c r="B23" s="42" t="s">
        <v>86</v>
      </c>
      <c r="C23" s="68">
        <v>3.8191074927857658</v>
      </c>
      <c r="D23" s="79">
        <v>19347.919999999998</v>
      </c>
      <c r="E23" s="79">
        <v>62291.13</v>
      </c>
      <c r="F23" s="79">
        <v>60793.01</v>
      </c>
      <c r="G23" s="79">
        <v>104076.86</v>
      </c>
      <c r="H23" s="79">
        <v>43283.85</v>
      </c>
      <c r="I23" s="80">
        <v>0.41599999999999998</v>
      </c>
      <c r="J23" s="79">
        <v>16252.84</v>
      </c>
      <c r="K23" s="79">
        <v>60125.26</v>
      </c>
      <c r="L23" s="79">
        <v>51132</v>
      </c>
      <c r="M23" s="79">
        <v>84472.88</v>
      </c>
      <c r="N23" s="79">
        <v>33340.879999999997</v>
      </c>
      <c r="O23" s="80">
        <v>0.39500000000000002</v>
      </c>
      <c r="P23" s="79">
        <v>104110</v>
      </c>
      <c r="Q23" s="79">
        <v>12491.86</v>
      </c>
      <c r="R23" s="79">
        <v>46363.86</v>
      </c>
      <c r="S23" s="79">
        <v>49399.360000000001</v>
      </c>
      <c r="T23" s="79">
        <v>83684.429999999993</v>
      </c>
      <c r="U23" s="79">
        <v>34285.07</v>
      </c>
      <c r="V23" s="80">
        <v>0.41</v>
      </c>
    </row>
    <row r="24" spans="1:22" x14ac:dyDescent="0.25">
      <c r="A24" s="41" t="s">
        <v>48</v>
      </c>
      <c r="B24" s="42" t="s">
        <v>86</v>
      </c>
      <c r="C24" s="68">
        <v>18.87087849223024</v>
      </c>
      <c r="D24" s="79">
        <v>4535.71</v>
      </c>
      <c r="E24" s="79">
        <v>1922.47</v>
      </c>
      <c r="F24" s="79">
        <v>2884.26</v>
      </c>
      <c r="G24" s="79">
        <v>4558.0600000000004</v>
      </c>
      <c r="H24" s="79">
        <v>1673.8</v>
      </c>
      <c r="I24" s="80">
        <v>0.36699999999999999</v>
      </c>
      <c r="J24" s="79">
        <v>7409.93</v>
      </c>
      <c r="K24" s="79">
        <v>8474.66</v>
      </c>
      <c r="L24" s="79">
        <v>2191.9899999999998</v>
      </c>
      <c r="M24" s="79">
        <v>4690.26</v>
      </c>
      <c r="N24" s="79">
        <v>2498.27</v>
      </c>
      <c r="O24" s="80">
        <v>0.53300000000000003</v>
      </c>
      <c r="P24" s="79">
        <v>4560</v>
      </c>
      <c r="Q24" s="79">
        <v>1176.97</v>
      </c>
      <c r="R24" s="79">
        <v>199.32</v>
      </c>
      <c r="S24" s="79">
        <v>915.7</v>
      </c>
      <c r="T24" s="79">
        <v>7088.98</v>
      </c>
      <c r="U24" s="79">
        <v>6173.28</v>
      </c>
      <c r="V24" s="80">
        <v>0.871</v>
      </c>
    </row>
    <row r="25" spans="1:22" x14ac:dyDescent="0.25">
      <c r="A25" s="41" t="s">
        <v>49</v>
      </c>
      <c r="B25" s="42" t="s">
        <v>86</v>
      </c>
      <c r="C25" s="68">
        <v>18.206268300618156</v>
      </c>
      <c r="D25" s="79">
        <v>139.9</v>
      </c>
      <c r="E25" s="79">
        <v>20.94</v>
      </c>
      <c r="F25" s="79">
        <v>92.21</v>
      </c>
      <c r="G25" s="79">
        <v>141.63</v>
      </c>
      <c r="H25" s="79">
        <v>49.42</v>
      </c>
      <c r="I25" s="80">
        <v>0.34899999999999998</v>
      </c>
      <c r="J25" s="79">
        <v>80.010000000000005</v>
      </c>
      <c r="K25" s="79">
        <v>368.68</v>
      </c>
      <c r="L25" s="79">
        <v>59.95</v>
      </c>
      <c r="M25" s="79">
        <v>92.08</v>
      </c>
      <c r="N25" s="79">
        <v>32.130000000000003</v>
      </c>
      <c r="O25" s="80">
        <v>0.34899999999999998</v>
      </c>
      <c r="P25" s="79">
        <v>141</v>
      </c>
      <c r="Q25" s="79">
        <v>0</v>
      </c>
      <c r="R25" s="79">
        <v>0</v>
      </c>
      <c r="S25" s="79">
        <v>0</v>
      </c>
      <c r="T25" s="79">
        <v>0</v>
      </c>
      <c r="U25" s="79">
        <v>0</v>
      </c>
      <c r="V25" s="80">
        <v>0</v>
      </c>
    </row>
    <row r="26" spans="1:22" x14ac:dyDescent="0.25">
      <c r="A26" s="18" t="s">
        <v>46</v>
      </c>
      <c r="B26" s="19" t="s">
        <v>87</v>
      </c>
      <c r="C26" s="69">
        <v>3.3833489147666329</v>
      </c>
      <c r="D26" s="32">
        <v>8028.14</v>
      </c>
      <c r="E26" s="32">
        <v>29607.93</v>
      </c>
      <c r="F26" s="32">
        <v>28474.06</v>
      </c>
      <c r="G26" s="32">
        <v>49883.25</v>
      </c>
      <c r="H26" s="32">
        <v>21409.19</v>
      </c>
      <c r="I26" s="81">
        <v>0.42899999999999999</v>
      </c>
      <c r="J26" s="32">
        <v>8586.1299999999992</v>
      </c>
      <c r="K26" s="32">
        <v>19582.53</v>
      </c>
      <c r="L26" s="32">
        <v>30592.26</v>
      </c>
      <c r="M26" s="32">
        <v>51852.32</v>
      </c>
      <c r="N26" s="32">
        <v>21260.06</v>
      </c>
      <c r="O26" s="81">
        <v>0.41</v>
      </c>
      <c r="P26" s="32">
        <v>49894</v>
      </c>
      <c r="Q26" s="32">
        <v>5630.51</v>
      </c>
      <c r="R26" s="32">
        <v>15352.2</v>
      </c>
      <c r="S26" s="32">
        <v>17330.810000000001</v>
      </c>
      <c r="T26" s="32">
        <v>29537.200000000001</v>
      </c>
      <c r="U26" s="32">
        <v>12206.39</v>
      </c>
      <c r="V26" s="81">
        <v>0.41299999999999998</v>
      </c>
    </row>
    <row r="27" spans="1:22" x14ac:dyDescent="0.25">
      <c r="A27" s="18" t="s">
        <v>48</v>
      </c>
      <c r="B27" s="19" t="s">
        <v>87</v>
      </c>
      <c r="C27" s="69">
        <v>25.40634848340153</v>
      </c>
      <c r="D27" s="32">
        <v>5764.15</v>
      </c>
      <c r="E27" s="32">
        <v>3105.45</v>
      </c>
      <c r="F27" s="32">
        <v>2722.54</v>
      </c>
      <c r="G27" s="32">
        <v>4307.97</v>
      </c>
      <c r="H27" s="32">
        <v>1585.43</v>
      </c>
      <c r="I27" s="81">
        <v>0.36799999999999999</v>
      </c>
      <c r="J27" s="32">
        <v>5681.44</v>
      </c>
      <c r="K27" s="32">
        <v>4015.81</v>
      </c>
      <c r="L27" s="32">
        <v>1266.08</v>
      </c>
      <c r="M27" s="32">
        <v>2094.5300000000002</v>
      </c>
      <c r="N27" s="32">
        <v>828.45</v>
      </c>
      <c r="O27" s="81">
        <v>0.39600000000000002</v>
      </c>
      <c r="P27" s="32">
        <v>4307</v>
      </c>
      <c r="Q27" s="32">
        <v>1086.71</v>
      </c>
      <c r="R27" s="32">
        <v>822.29</v>
      </c>
      <c r="S27" s="32">
        <v>595.6</v>
      </c>
      <c r="T27" s="32">
        <v>1100.4100000000001</v>
      </c>
      <c r="U27" s="32">
        <v>504.81</v>
      </c>
      <c r="V27" s="81">
        <v>0.45900000000000002</v>
      </c>
    </row>
    <row r="28" spans="1:22" x14ac:dyDescent="0.25">
      <c r="A28" s="18" t="s">
        <v>49</v>
      </c>
      <c r="B28" s="19" t="s">
        <v>87</v>
      </c>
      <c r="C28" s="69">
        <v>10.468689859363435</v>
      </c>
      <c r="D28" s="32">
        <v>58.93</v>
      </c>
      <c r="E28" s="32">
        <v>-47.1</v>
      </c>
      <c r="F28" s="32">
        <v>67.55</v>
      </c>
      <c r="G28" s="32">
        <v>112.72</v>
      </c>
      <c r="H28" s="32">
        <v>45.17</v>
      </c>
      <c r="I28" s="81">
        <v>0.40100000000000002</v>
      </c>
      <c r="J28" s="32">
        <v>128.46</v>
      </c>
      <c r="K28" s="32">
        <v>-516.64</v>
      </c>
      <c r="L28" s="32">
        <v>40.090000000000003</v>
      </c>
      <c r="M28" s="32">
        <v>63.03</v>
      </c>
      <c r="N28" s="32">
        <v>22.94</v>
      </c>
      <c r="O28" s="81">
        <v>0.36399999999999999</v>
      </c>
      <c r="P28" s="32">
        <v>113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81">
        <v>0</v>
      </c>
    </row>
    <row r="29" spans="1:22" x14ac:dyDescent="0.25">
      <c r="A29" s="20" t="s">
        <v>46</v>
      </c>
      <c r="B29" s="21" t="s">
        <v>88</v>
      </c>
      <c r="C29" s="70">
        <v>5.394826555973478</v>
      </c>
      <c r="D29" s="33">
        <v>1557.41</v>
      </c>
      <c r="E29" s="33">
        <v>2931.36</v>
      </c>
      <c r="F29" s="33">
        <v>3464.23</v>
      </c>
      <c r="G29" s="33">
        <v>6314.26</v>
      </c>
      <c r="H29" s="33">
        <v>2850.03</v>
      </c>
      <c r="I29" s="82">
        <v>0.45100000000000001</v>
      </c>
      <c r="J29" s="33">
        <v>1386.79</v>
      </c>
      <c r="K29" s="33">
        <v>1206.76</v>
      </c>
      <c r="L29" s="33">
        <v>2323.09</v>
      </c>
      <c r="M29" s="33">
        <v>4446.66</v>
      </c>
      <c r="N29" s="33">
        <v>2123.5700000000002</v>
      </c>
      <c r="O29" s="82">
        <v>0.47799999999999998</v>
      </c>
      <c r="P29" s="33">
        <v>6317</v>
      </c>
      <c r="Q29" s="33">
        <v>430.51</v>
      </c>
      <c r="R29" s="33">
        <v>1314.09</v>
      </c>
      <c r="S29" s="33">
        <v>863.32</v>
      </c>
      <c r="T29" s="33">
        <v>1617.28</v>
      </c>
      <c r="U29" s="33">
        <v>753.96</v>
      </c>
      <c r="V29" s="82">
        <v>0.46600000000000003</v>
      </c>
    </row>
    <row r="30" spans="1:22" x14ac:dyDescent="0.25">
      <c r="A30" s="20" t="s">
        <v>48</v>
      </c>
      <c r="B30" s="21" t="s">
        <v>88</v>
      </c>
      <c r="C30" s="70">
        <v>22.951216873985938</v>
      </c>
      <c r="D30" s="33">
        <v>707.28</v>
      </c>
      <c r="E30" s="33">
        <v>296.57</v>
      </c>
      <c r="F30" s="33">
        <v>369.8</v>
      </c>
      <c r="G30" s="33">
        <v>574.91999999999996</v>
      </c>
      <c r="H30" s="33">
        <v>205.12</v>
      </c>
      <c r="I30" s="82">
        <v>0.35699999999999998</v>
      </c>
      <c r="J30" s="33">
        <v>976.9</v>
      </c>
      <c r="K30" s="33">
        <v>418.97</v>
      </c>
      <c r="L30" s="33">
        <v>393.8</v>
      </c>
      <c r="M30" s="33">
        <v>695.16</v>
      </c>
      <c r="N30" s="33">
        <v>301.36</v>
      </c>
      <c r="O30" s="82">
        <v>0.434</v>
      </c>
      <c r="P30" s="33">
        <v>576</v>
      </c>
      <c r="Q30" s="33">
        <v>42.51</v>
      </c>
      <c r="R30" s="33">
        <v>82.25</v>
      </c>
      <c r="S30" s="33">
        <v>11.25</v>
      </c>
      <c r="T30" s="33">
        <v>14.98</v>
      </c>
      <c r="U30" s="33">
        <v>3.73</v>
      </c>
      <c r="V30" s="82">
        <v>0.249</v>
      </c>
    </row>
    <row r="31" spans="1:22" x14ac:dyDescent="0.25">
      <c r="A31" s="20" t="s">
        <v>49</v>
      </c>
      <c r="B31" s="21" t="s">
        <v>88</v>
      </c>
      <c r="C31" s="70">
        <v>0</v>
      </c>
      <c r="D31" s="33">
        <v>0</v>
      </c>
      <c r="E31" s="33">
        <v>0</v>
      </c>
      <c r="F31" s="33">
        <v>0</v>
      </c>
      <c r="G31" s="33">
        <v>0</v>
      </c>
      <c r="H31" s="33">
        <v>0</v>
      </c>
      <c r="I31" s="82">
        <v>0</v>
      </c>
      <c r="J31" s="33">
        <v>95</v>
      </c>
      <c r="K31" s="33">
        <v>-368.32</v>
      </c>
      <c r="L31" s="33">
        <v>0</v>
      </c>
      <c r="M31" s="33">
        <v>0</v>
      </c>
      <c r="N31" s="33">
        <v>0</v>
      </c>
      <c r="O31" s="82">
        <v>0</v>
      </c>
      <c r="P31" s="33">
        <v>0</v>
      </c>
      <c r="Q31" s="33">
        <v>0</v>
      </c>
      <c r="R31" s="33">
        <v>0</v>
      </c>
      <c r="S31" s="33">
        <v>0</v>
      </c>
      <c r="T31" s="33">
        <v>0</v>
      </c>
      <c r="U31" s="33">
        <v>0</v>
      </c>
      <c r="V31" s="82">
        <v>0</v>
      </c>
    </row>
    <row r="32" spans="1:22" x14ac:dyDescent="0.25">
      <c r="A32" s="22" t="s">
        <v>46</v>
      </c>
      <c r="B32" s="23" t="s">
        <v>89</v>
      </c>
      <c r="C32" s="71">
        <v>0.59518692296049647</v>
      </c>
      <c r="D32" s="34">
        <v>98.31</v>
      </c>
      <c r="E32" s="34">
        <v>28829.82</v>
      </c>
      <c r="F32" s="34">
        <v>1982.1</v>
      </c>
      <c r="G32" s="34">
        <v>2038.86</v>
      </c>
      <c r="H32" s="34">
        <v>56.76</v>
      </c>
      <c r="I32" s="83">
        <v>2.8000000000000001E-2</v>
      </c>
      <c r="J32" s="34">
        <v>963.28</v>
      </c>
      <c r="K32" s="34">
        <v>28183.08</v>
      </c>
      <c r="L32" s="34">
        <v>25926.47</v>
      </c>
      <c r="M32" s="34">
        <v>25239.27</v>
      </c>
      <c r="N32" s="34">
        <v>-687.2</v>
      </c>
      <c r="O32" s="83">
        <v>-2.7E-2</v>
      </c>
      <c r="P32" s="34">
        <v>2038</v>
      </c>
      <c r="Q32" s="34">
        <v>312.08</v>
      </c>
      <c r="R32" s="34">
        <v>29083.48</v>
      </c>
      <c r="S32" s="34">
        <v>12149.27</v>
      </c>
      <c r="T32" s="34">
        <v>12755.59</v>
      </c>
      <c r="U32" s="34">
        <v>606.32000000000005</v>
      </c>
      <c r="V32" s="83">
        <v>4.8000000000000001E-2</v>
      </c>
    </row>
    <row r="33" spans="1:22" x14ac:dyDescent="0.25">
      <c r="A33" s="22" t="s">
        <v>48</v>
      </c>
      <c r="B33" s="23" t="s">
        <v>89</v>
      </c>
      <c r="C33" s="71">
        <v>0</v>
      </c>
      <c r="D33" s="34">
        <v>0</v>
      </c>
      <c r="E33" s="34">
        <v>1656.69</v>
      </c>
      <c r="F33" s="34">
        <v>1238.0999999999999</v>
      </c>
      <c r="G33" s="34">
        <v>1237.1300000000001</v>
      </c>
      <c r="H33" s="34">
        <v>-0.97</v>
      </c>
      <c r="I33" s="83">
        <v>-1E-3</v>
      </c>
      <c r="J33" s="34">
        <v>4246.5600000000004</v>
      </c>
      <c r="K33" s="34">
        <v>12508.59</v>
      </c>
      <c r="L33" s="34">
        <v>21742.67</v>
      </c>
      <c r="M33" s="34">
        <v>21743.07</v>
      </c>
      <c r="N33" s="34">
        <v>0.4</v>
      </c>
      <c r="O33" s="83">
        <v>0</v>
      </c>
      <c r="P33" s="34">
        <v>1236</v>
      </c>
      <c r="Q33" s="34">
        <v>148.56</v>
      </c>
      <c r="R33" s="34">
        <v>2425.59</v>
      </c>
      <c r="S33" s="34">
        <v>570.39</v>
      </c>
      <c r="T33" s="34">
        <v>588.20000000000005</v>
      </c>
      <c r="U33" s="34">
        <v>17.809999999999999</v>
      </c>
      <c r="V33" s="83">
        <v>0.03</v>
      </c>
    </row>
    <row r="34" spans="1:22" x14ac:dyDescent="0.25">
      <c r="A34" s="22" t="s">
        <v>49</v>
      </c>
      <c r="B34" s="23" t="s">
        <v>89</v>
      </c>
      <c r="C34" s="71">
        <v>0</v>
      </c>
      <c r="D34" s="34">
        <v>0</v>
      </c>
      <c r="E34" s="34">
        <v>8627.2000000000007</v>
      </c>
      <c r="F34" s="34">
        <v>0</v>
      </c>
      <c r="G34" s="34">
        <v>0</v>
      </c>
      <c r="H34" s="34">
        <v>0</v>
      </c>
      <c r="I34" s="83">
        <v>0</v>
      </c>
      <c r="J34" s="34">
        <v>0.35</v>
      </c>
      <c r="K34" s="34">
        <v>4880.71</v>
      </c>
      <c r="L34" s="34">
        <v>385.66</v>
      </c>
      <c r="M34" s="34">
        <v>386.3</v>
      </c>
      <c r="N34" s="34">
        <v>0.64</v>
      </c>
      <c r="O34" s="83">
        <v>2E-3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83">
        <v>0</v>
      </c>
    </row>
    <row r="35" spans="1:22" x14ac:dyDescent="0.25">
      <c r="A35" s="24" t="s">
        <v>46</v>
      </c>
      <c r="B35" s="25" t="s">
        <v>90</v>
      </c>
      <c r="C35" s="68">
        <v>4.2609524161918158</v>
      </c>
      <c r="D35" s="79">
        <v>3070.84</v>
      </c>
      <c r="E35" s="79">
        <v>9881.1200000000008</v>
      </c>
      <c r="F35" s="79">
        <v>8648.32</v>
      </c>
      <c r="G35" s="79">
        <v>14303.36</v>
      </c>
      <c r="H35" s="79">
        <v>5655.04</v>
      </c>
      <c r="I35" s="80">
        <v>0.39500000000000002</v>
      </c>
      <c r="J35" s="79">
        <v>5812.89</v>
      </c>
      <c r="K35" s="79">
        <v>10784.59</v>
      </c>
      <c r="L35" s="79">
        <v>11110.67</v>
      </c>
      <c r="M35" s="79">
        <v>18414.73</v>
      </c>
      <c r="N35" s="79">
        <v>7304.06</v>
      </c>
      <c r="O35" s="80">
        <v>0.39700000000000002</v>
      </c>
      <c r="P35" s="79">
        <v>14306</v>
      </c>
      <c r="Q35" s="79">
        <v>8515.85</v>
      </c>
      <c r="R35" s="79">
        <v>6390.98</v>
      </c>
      <c r="S35" s="79">
        <v>10841.27</v>
      </c>
      <c r="T35" s="79">
        <v>16289.81</v>
      </c>
      <c r="U35" s="79">
        <v>5448.54</v>
      </c>
      <c r="V35" s="80">
        <v>0.33400000000000002</v>
      </c>
    </row>
    <row r="36" spans="1:22" x14ac:dyDescent="0.25">
      <c r="A36" s="24" t="s">
        <v>48</v>
      </c>
      <c r="B36" s="25" t="s">
        <v>90</v>
      </c>
      <c r="C36" s="68">
        <v>9.498513622215226</v>
      </c>
      <c r="D36" s="79">
        <v>2715.91</v>
      </c>
      <c r="E36" s="79">
        <v>4733.66</v>
      </c>
      <c r="F36" s="79">
        <v>3431.16</v>
      </c>
      <c r="G36" s="79">
        <v>5743.11</v>
      </c>
      <c r="H36" s="79">
        <v>2311.9499999999998</v>
      </c>
      <c r="I36" s="80">
        <v>0.40300000000000002</v>
      </c>
      <c r="J36" s="79">
        <v>2226.8200000000002</v>
      </c>
      <c r="K36" s="79">
        <v>3252.45</v>
      </c>
      <c r="L36" s="79">
        <v>3492.15</v>
      </c>
      <c r="M36" s="79">
        <v>5736.41</v>
      </c>
      <c r="N36" s="79">
        <v>2244.2600000000002</v>
      </c>
      <c r="O36" s="80">
        <v>0.39100000000000001</v>
      </c>
      <c r="P36" s="79">
        <v>5743</v>
      </c>
      <c r="Q36" s="79">
        <v>1609.3</v>
      </c>
      <c r="R36" s="79">
        <v>2551.84</v>
      </c>
      <c r="S36" s="79">
        <v>1481.78</v>
      </c>
      <c r="T36" s="79">
        <v>2356.2199999999998</v>
      </c>
      <c r="U36" s="79">
        <v>874.44</v>
      </c>
      <c r="V36" s="80">
        <v>0.371</v>
      </c>
    </row>
    <row r="37" spans="1:22" x14ac:dyDescent="0.25">
      <c r="A37" s="24" t="s">
        <v>49</v>
      </c>
      <c r="B37" s="25" t="s">
        <v>90</v>
      </c>
      <c r="C37" s="68">
        <v>0</v>
      </c>
      <c r="D37" s="79">
        <v>0</v>
      </c>
      <c r="E37" s="79">
        <v>0</v>
      </c>
      <c r="F37" s="79">
        <v>0</v>
      </c>
      <c r="G37" s="79">
        <v>0</v>
      </c>
      <c r="H37" s="79">
        <v>0</v>
      </c>
      <c r="I37" s="80">
        <v>0</v>
      </c>
      <c r="J37" s="79">
        <v>0</v>
      </c>
      <c r="K37" s="79">
        <v>350.39</v>
      </c>
      <c r="L37" s="79">
        <v>96.83</v>
      </c>
      <c r="M37" s="79">
        <v>97.76</v>
      </c>
      <c r="N37" s="79">
        <v>0.93</v>
      </c>
      <c r="O37" s="80">
        <v>0.01</v>
      </c>
      <c r="P37" s="79">
        <v>0</v>
      </c>
      <c r="Q37" s="79">
        <v>0</v>
      </c>
      <c r="R37" s="79">
        <v>0</v>
      </c>
      <c r="S37" s="79">
        <v>0</v>
      </c>
      <c r="T37" s="79">
        <v>0</v>
      </c>
      <c r="U37" s="79">
        <v>0</v>
      </c>
      <c r="V37" s="80">
        <v>0</v>
      </c>
    </row>
    <row r="38" spans="1:22" x14ac:dyDescent="0.25">
      <c r="A38" s="26" t="s">
        <v>46</v>
      </c>
      <c r="B38" s="27" t="s">
        <v>91</v>
      </c>
      <c r="C38" s="73">
        <v>4.0987412588205903</v>
      </c>
      <c r="D38" s="36">
        <v>12043.41</v>
      </c>
      <c r="E38" s="36">
        <v>38179.339999999997</v>
      </c>
      <c r="F38" s="36">
        <v>35259.83</v>
      </c>
      <c r="G38" s="36">
        <v>56752.98</v>
      </c>
      <c r="H38" s="36">
        <v>21493.15</v>
      </c>
      <c r="I38" s="85">
        <v>0.379</v>
      </c>
      <c r="J38" s="36">
        <v>9592.26</v>
      </c>
      <c r="K38" s="36">
        <v>21662.560000000001</v>
      </c>
      <c r="L38" s="36">
        <v>25103.66</v>
      </c>
      <c r="M38" s="36">
        <v>37516.410000000003</v>
      </c>
      <c r="N38" s="36">
        <v>12412.75</v>
      </c>
      <c r="O38" s="85">
        <v>0.33100000000000002</v>
      </c>
      <c r="P38" s="36">
        <v>56756</v>
      </c>
      <c r="Q38" s="36">
        <v>13170.13</v>
      </c>
      <c r="R38" s="36">
        <v>28507.75</v>
      </c>
      <c r="S38" s="36">
        <v>29068.54</v>
      </c>
      <c r="T38" s="36">
        <v>44207.89</v>
      </c>
      <c r="U38" s="36">
        <v>15139.35</v>
      </c>
      <c r="V38" s="85">
        <v>0.34200000000000003</v>
      </c>
    </row>
    <row r="39" spans="1:22" x14ac:dyDescent="0.25">
      <c r="A39" s="26" t="s">
        <v>48</v>
      </c>
      <c r="B39" s="27" t="s">
        <v>91</v>
      </c>
      <c r="C39" s="73">
        <v>3.6524156485171715</v>
      </c>
      <c r="D39" s="36">
        <v>5774.32</v>
      </c>
      <c r="E39" s="36">
        <v>18836.73</v>
      </c>
      <c r="F39" s="36">
        <v>18971.509999999998</v>
      </c>
      <c r="G39" s="36">
        <v>26867.66</v>
      </c>
      <c r="H39" s="36">
        <v>7896.15</v>
      </c>
      <c r="I39" s="85">
        <v>0.29399999999999998</v>
      </c>
      <c r="J39" s="36">
        <v>7520.3</v>
      </c>
      <c r="K39" s="36">
        <v>17935.47</v>
      </c>
      <c r="L39" s="36">
        <v>20571.599999999999</v>
      </c>
      <c r="M39" s="36">
        <v>28903.41</v>
      </c>
      <c r="N39" s="36">
        <v>8331.81</v>
      </c>
      <c r="O39" s="85">
        <v>0.28799999999999998</v>
      </c>
      <c r="P39" s="36">
        <v>26869</v>
      </c>
      <c r="Q39" s="36">
        <v>10564.47</v>
      </c>
      <c r="R39" s="36">
        <v>16450.55</v>
      </c>
      <c r="S39" s="36">
        <v>17055.849999999999</v>
      </c>
      <c r="T39" s="36">
        <v>24798.97</v>
      </c>
      <c r="U39" s="36">
        <v>7743.12</v>
      </c>
      <c r="V39" s="85">
        <v>0.312</v>
      </c>
    </row>
    <row r="40" spans="1:22" x14ac:dyDescent="0.25">
      <c r="A40" s="26" t="s">
        <v>49</v>
      </c>
      <c r="B40" s="27" t="s">
        <v>91</v>
      </c>
      <c r="C40" s="73"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85"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85"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85">
        <v>0</v>
      </c>
    </row>
    <row r="41" spans="1:22" x14ac:dyDescent="0.25">
      <c r="A41" s="28" t="s">
        <v>46</v>
      </c>
      <c r="B41" s="29" t="s">
        <v>92</v>
      </c>
      <c r="C41" s="74">
        <v>0</v>
      </c>
      <c r="D41" s="37">
        <v>0</v>
      </c>
      <c r="E41" s="37">
        <v>0</v>
      </c>
      <c r="F41" s="37">
        <v>0</v>
      </c>
      <c r="G41" s="37">
        <v>0</v>
      </c>
      <c r="H41" s="37">
        <v>0</v>
      </c>
      <c r="I41" s="86">
        <v>0</v>
      </c>
      <c r="J41" s="37">
        <v>0</v>
      </c>
      <c r="K41" s="37">
        <v>0</v>
      </c>
      <c r="L41" s="37">
        <v>0</v>
      </c>
      <c r="M41" s="37">
        <v>0</v>
      </c>
      <c r="N41" s="37">
        <v>0</v>
      </c>
      <c r="O41" s="86">
        <v>0</v>
      </c>
      <c r="P41" s="37">
        <v>0</v>
      </c>
      <c r="Q41" s="37">
        <v>0</v>
      </c>
      <c r="R41" s="37">
        <v>0</v>
      </c>
      <c r="S41" s="37">
        <v>0</v>
      </c>
      <c r="T41" s="37">
        <v>0</v>
      </c>
      <c r="U41" s="37">
        <v>0</v>
      </c>
      <c r="V41" s="86">
        <v>0</v>
      </c>
    </row>
    <row r="42" spans="1:22" x14ac:dyDescent="0.25">
      <c r="A42" s="28" t="s">
        <v>48</v>
      </c>
      <c r="B42" s="29" t="s">
        <v>92</v>
      </c>
      <c r="C42" s="74">
        <v>0</v>
      </c>
      <c r="D42" s="37">
        <v>0</v>
      </c>
      <c r="E42" s="37">
        <v>0</v>
      </c>
      <c r="F42" s="37">
        <v>0</v>
      </c>
      <c r="G42" s="37">
        <v>0</v>
      </c>
      <c r="H42" s="37">
        <v>0</v>
      </c>
      <c r="I42" s="86">
        <v>0</v>
      </c>
      <c r="J42" s="37">
        <v>0</v>
      </c>
      <c r="K42" s="37">
        <v>0</v>
      </c>
      <c r="L42" s="37">
        <v>0</v>
      </c>
      <c r="M42" s="37">
        <v>0</v>
      </c>
      <c r="N42" s="37">
        <v>0</v>
      </c>
      <c r="O42" s="86">
        <v>0</v>
      </c>
      <c r="P42" s="37">
        <v>0</v>
      </c>
      <c r="Q42" s="37">
        <v>0</v>
      </c>
      <c r="R42" s="37">
        <v>0</v>
      </c>
      <c r="S42" s="37">
        <v>0</v>
      </c>
      <c r="T42" s="37">
        <v>0</v>
      </c>
      <c r="U42" s="37">
        <v>0</v>
      </c>
      <c r="V42" s="86">
        <v>0</v>
      </c>
    </row>
    <row r="43" spans="1:22" x14ac:dyDescent="0.25">
      <c r="A43" s="28" t="s">
        <v>49</v>
      </c>
      <c r="B43" s="29" t="s">
        <v>92</v>
      </c>
      <c r="C43" s="74">
        <v>0</v>
      </c>
      <c r="D43" s="37">
        <v>0</v>
      </c>
      <c r="E43" s="37">
        <v>0</v>
      </c>
      <c r="F43" s="37">
        <v>0</v>
      </c>
      <c r="G43" s="37">
        <v>0</v>
      </c>
      <c r="H43" s="37">
        <v>0</v>
      </c>
      <c r="I43" s="86">
        <v>0</v>
      </c>
      <c r="J43" s="37">
        <v>0</v>
      </c>
      <c r="K43" s="37">
        <v>0</v>
      </c>
      <c r="L43" s="37">
        <v>0</v>
      </c>
      <c r="M43" s="37">
        <v>0</v>
      </c>
      <c r="N43" s="37">
        <v>0</v>
      </c>
      <c r="O43" s="86">
        <v>0</v>
      </c>
      <c r="P43" s="37">
        <v>0</v>
      </c>
      <c r="Q43" s="37">
        <v>0</v>
      </c>
      <c r="R43" s="37">
        <v>0</v>
      </c>
      <c r="S43" s="37">
        <v>0</v>
      </c>
      <c r="T43" s="37">
        <v>0</v>
      </c>
      <c r="U43" s="37">
        <v>0</v>
      </c>
      <c r="V43" s="86">
        <v>0</v>
      </c>
    </row>
    <row r="44" spans="1:22" x14ac:dyDescent="0.25">
      <c r="A44" s="18" t="s">
        <v>46</v>
      </c>
      <c r="B44" s="19" t="s">
        <v>94</v>
      </c>
      <c r="C44" s="69" cm="1">
        <f t="array" ref="C44:V46">'HW - All'!C47:V49</f>
        <v>10.956284746505936</v>
      </c>
      <c r="D44" s="32">
        <v>17989.689999999999</v>
      </c>
      <c r="E44" s="32">
        <v>3649.72</v>
      </c>
      <c r="F44" s="32">
        <v>19703.419999999998</v>
      </c>
      <c r="G44" s="32">
        <v>18109.810000000001</v>
      </c>
      <c r="H44" s="32">
        <v>-1593.61</v>
      </c>
      <c r="I44" s="81">
        <v>-8.7999999999999995E-2</v>
      </c>
      <c r="J44" s="32">
        <v>14201.45</v>
      </c>
      <c r="K44" s="32">
        <v>5379.34</v>
      </c>
      <c r="L44" s="32">
        <v>4395.74</v>
      </c>
      <c r="M44" s="32">
        <v>8728.0400000000009</v>
      </c>
      <c r="N44" s="32">
        <v>4332.3</v>
      </c>
      <c r="O44" s="81">
        <v>0.496</v>
      </c>
      <c r="P44" s="32">
        <v>18708</v>
      </c>
      <c r="Q44" s="32">
        <v>10782.67</v>
      </c>
      <c r="R44" s="32">
        <v>17856.39</v>
      </c>
      <c r="S44" s="32">
        <v>10708.43</v>
      </c>
      <c r="T44" s="32">
        <v>15481.71</v>
      </c>
      <c r="U44" s="32">
        <v>4773.28</v>
      </c>
      <c r="V44" s="81">
        <v>0.308</v>
      </c>
    </row>
    <row r="45" spans="1:22" x14ac:dyDescent="0.25">
      <c r="A45" s="52" t="s">
        <v>48</v>
      </c>
      <c r="B45" s="19" t="s">
        <v>94</v>
      </c>
      <c r="C45" s="69">
        <v>22.953409022886444</v>
      </c>
      <c r="D45" s="32">
        <v>6710.41</v>
      </c>
      <c r="E45" s="32">
        <v>-179</v>
      </c>
      <c r="F45" s="32">
        <v>3508.19</v>
      </c>
      <c r="G45" s="32">
        <v>4020.54</v>
      </c>
      <c r="H45" s="32">
        <v>512.35</v>
      </c>
      <c r="I45" s="81">
        <v>0.127</v>
      </c>
      <c r="J45" s="32">
        <v>3539.1</v>
      </c>
      <c r="K45" s="32">
        <v>758.66</v>
      </c>
      <c r="L45" s="32">
        <v>1537.3</v>
      </c>
      <c r="M45" s="32">
        <v>1957.6</v>
      </c>
      <c r="N45" s="32">
        <v>420.3</v>
      </c>
      <c r="O45" s="81">
        <v>0.215</v>
      </c>
      <c r="P45" s="32">
        <v>4018</v>
      </c>
      <c r="Q45" s="32">
        <v>6582.96</v>
      </c>
      <c r="R45" s="32">
        <v>2741.27</v>
      </c>
      <c r="S45" s="32">
        <v>2397.96</v>
      </c>
      <c r="T45" s="32">
        <v>3875.67</v>
      </c>
      <c r="U45" s="32">
        <v>1477.71</v>
      </c>
      <c r="V45" s="81">
        <v>0.38100000000000001</v>
      </c>
    </row>
    <row r="46" spans="1:22" ht="15.75" thickBot="1" x14ac:dyDescent="0.3">
      <c r="A46" s="43" t="s">
        <v>49</v>
      </c>
      <c r="B46" s="53" t="s">
        <v>94</v>
      </c>
      <c r="C46" s="65">
        <v>22.041148207465813</v>
      </c>
      <c r="D46" s="75">
        <v>149.09</v>
      </c>
      <c r="E46" s="75">
        <v>30.31</v>
      </c>
      <c r="F46" s="75">
        <v>81.17</v>
      </c>
      <c r="G46" s="75">
        <v>117.69</v>
      </c>
      <c r="H46" s="75">
        <v>36.520000000000003</v>
      </c>
      <c r="I46" s="92">
        <v>0.31</v>
      </c>
      <c r="J46" s="75">
        <v>218.2</v>
      </c>
      <c r="K46" s="75">
        <v>652.09</v>
      </c>
      <c r="L46" s="75">
        <v>228.4</v>
      </c>
      <c r="M46" s="75">
        <v>399.84</v>
      </c>
      <c r="N46" s="75">
        <v>171.44</v>
      </c>
      <c r="O46" s="92">
        <v>0.42899999999999999</v>
      </c>
      <c r="P46" s="75">
        <v>118</v>
      </c>
      <c r="Q46" s="75">
        <v>0</v>
      </c>
      <c r="R46" s="75">
        <v>0</v>
      </c>
      <c r="S46" s="75">
        <v>0</v>
      </c>
      <c r="T46" s="75">
        <v>0</v>
      </c>
      <c r="U46" s="75">
        <v>0</v>
      </c>
      <c r="V46" s="92">
        <v>0</v>
      </c>
    </row>
    <row r="47" spans="1:22" s="3" customFormat="1" ht="15.75" thickBot="1" x14ac:dyDescent="0.3">
      <c r="A47" s="2"/>
      <c r="B47" s="87" t="s">
        <v>59</v>
      </c>
      <c r="C47" s="89">
        <f>IF(D47=0,0,(D47/(F47/12)))</f>
        <v>6.5183271888056336</v>
      </c>
      <c r="D47" s="6">
        <f>SUM(D2:D46)</f>
        <v>788413.70000000019</v>
      </c>
      <c r="E47" s="6">
        <f>SUM(E2:E46)</f>
        <v>1466834.2099999997</v>
      </c>
      <c r="F47" s="6">
        <f>SUM(F2:F46)</f>
        <v>1451440.55</v>
      </c>
      <c r="G47" s="6">
        <f>SUM(G2:G46)</f>
        <v>2385384.9799999991</v>
      </c>
      <c r="H47" s="63">
        <f>SUM(H2:H46)</f>
        <v>933944.43000000028</v>
      </c>
      <c r="I47" s="90">
        <f>IF(G47=0,0,(1-(F47/G47)))</f>
        <v>0.3915277566642511</v>
      </c>
      <c r="J47" s="63">
        <f t="shared" ref="J47:U47" si="0">SUM(J2:J46)</f>
        <v>709647.15999999992</v>
      </c>
      <c r="K47" s="63">
        <f t="shared" si="0"/>
        <v>1525068.6300000001</v>
      </c>
      <c r="L47" s="63">
        <f t="shared" si="0"/>
        <v>1449085.3599999999</v>
      </c>
      <c r="M47" s="63">
        <f t="shared" si="0"/>
        <v>2357736.2999999993</v>
      </c>
      <c r="N47" s="63">
        <f t="shared" si="0"/>
        <v>908650.94000000018</v>
      </c>
      <c r="O47" s="90">
        <f>IF(M47=0,0,(1-(L47/M47)))</f>
        <v>0.38539125007321628</v>
      </c>
      <c r="P47" s="63">
        <f t="shared" si="0"/>
        <v>2386219</v>
      </c>
      <c r="Q47" s="63">
        <f t="shared" si="0"/>
        <v>595053.6399999999</v>
      </c>
      <c r="R47" s="63">
        <f t="shared" si="0"/>
        <v>1446485.3300000003</v>
      </c>
      <c r="S47" s="63">
        <f t="shared" si="0"/>
        <v>1478714.0499999998</v>
      </c>
      <c r="T47" s="63">
        <f t="shared" si="0"/>
        <v>2415711.4300000006</v>
      </c>
      <c r="U47" s="63">
        <f t="shared" si="0"/>
        <v>936997.37999999989</v>
      </c>
      <c r="V47" s="90">
        <f>IF(T47=0,0,(1-(S47/T47)))</f>
        <v>0.38787636981955276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D5A58-B6C6-4BB5-9EF9-7A99C6A30377}">
  <sheetPr>
    <tabColor theme="9" tint="0.39997558519241921"/>
  </sheetPr>
  <dimension ref="A1:V5"/>
  <sheetViews>
    <sheetView zoomScale="85" zoomScaleNormal="85" workbookViewId="0">
      <selection activeCell="C6" sqref="C6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4.285156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4.28515625" bestFit="1" customWidth="1"/>
    <col min="15" max="15" width="8.710937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4.28515625" bestFit="1" customWidth="1"/>
    <col min="22" max="22" width="8.7109375" style="78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41" t="s">
        <v>46</v>
      </c>
      <c r="B2" s="42" t="s">
        <v>93</v>
      </c>
      <c r="C2" s="67" cm="1">
        <f t="array" ref="C2:V4">'HW - All'!C44:V46</f>
        <v>0.70581140663890929</v>
      </c>
      <c r="D2" s="31">
        <v>8426.99</v>
      </c>
      <c r="E2" s="31">
        <v>141956.04</v>
      </c>
      <c r="F2" s="31">
        <v>143273.23000000001</v>
      </c>
      <c r="G2" s="31">
        <v>208283.87</v>
      </c>
      <c r="H2" s="31">
        <v>65010.64</v>
      </c>
      <c r="I2" s="91">
        <v>0.312</v>
      </c>
      <c r="J2" s="31">
        <v>-36.770000000000003</v>
      </c>
      <c r="K2" s="31">
        <v>97829.93</v>
      </c>
      <c r="L2" s="31">
        <v>106758.51</v>
      </c>
      <c r="M2" s="31">
        <v>153462.22</v>
      </c>
      <c r="N2" s="31">
        <v>46703.71</v>
      </c>
      <c r="O2" s="91">
        <v>0.30399999999999999</v>
      </c>
      <c r="P2" s="31">
        <v>208316</v>
      </c>
      <c r="Q2" s="31">
        <v>-276.33</v>
      </c>
      <c r="R2" s="31">
        <v>114589.16</v>
      </c>
      <c r="S2" s="31">
        <v>115361.2</v>
      </c>
      <c r="T2" s="31">
        <v>170453.88</v>
      </c>
      <c r="U2" s="31">
        <v>55092.68</v>
      </c>
      <c r="V2" s="91">
        <v>0.32300000000000001</v>
      </c>
    </row>
    <row r="3" spans="1:22" x14ac:dyDescent="0.25">
      <c r="A3" s="41" t="s">
        <v>48</v>
      </c>
      <c r="B3" s="42" t="s">
        <v>93</v>
      </c>
      <c r="C3" s="67">
        <v>7.7228875329062502E-2</v>
      </c>
      <c r="D3" s="31">
        <v>135.34</v>
      </c>
      <c r="E3" s="31">
        <v>21603.69</v>
      </c>
      <c r="F3" s="31">
        <v>21029.439999999999</v>
      </c>
      <c r="G3" s="31">
        <v>28799.8</v>
      </c>
      <c r="H3" s="31">
        <v>7770.36</v>
      </c>
      <c r="I3" s="91">
        <v>0.27</v>
      </c>
      <c r="J3" s="31">
        <v>331.44</v>
      </c>
      <c r="K3" s="31">
        <v>30058.14</v>
      </c>
      <c r="L3" s="31">
        <v>29743.98</v>
      </c>
      <c r="M3" s="31">
        <v>37676.07</v>
      </c>
      <c r="N3" s="31">
        <v>7932.09</v>
      </c>
      <c r="O3" s="91">
        <v>0.21099999999999999</v>
      </c>
      <c r="P3" s="31">
        <v>28807</v>
      </c>
      <c r="Q3" s="31">
        <v>396.6</v>
      </c>
      <c r="R3" s="31">
        <v>19358.98</v>
      </c>
      <c r="S3" s="31">
        <v>19020.25</v>
      </c>
      <c r="T3" s="31">
        <v>24306.43</v>
      </c>
      <c r="U3" s="31">
        <v>5286.18</v>
      </c>
      <c r="V3" s="91">
        <v>0.217</v>
      </c>
    </row>
    <row r="4" spans="1:22" ht="15.75" thickBot="1" x14ac:dyDescent="0.3">
      <c r="A4" s="41" t="s">
        <v>49</v>
      </c>
      <c r="B4" s="42" t="s">
        <v>93</v>
      </c>
      <c r="C4" s="67">
        <v>0</v>
      </c>
      <c r="D4" s="31">
        <v>0</v>
      </c>
      <c r="E4" s="31">
        <v>0</v>
      </c>
      <c r="F4" s="31">
        <v>0</v>
      </c>
      <c r="G4" s="31">
        <v>0</v>
      </c>
      <c r="H4" s="31">
        <v>0</v>
      </c>
      <c r="I4" s="91">
        <v>0</v>
      </c>
      <c r="J4" s="31">
        <v>0</v>
      </c>
      <c r="K4" s="31">
        <v>0</v>
      </c>
      <c r="L4" s="31">
        <v>4.43</v>
      </c>
      <c r="M4" s="31">
        <v>5.98</v>
      </c>
      <c r="N4" s="31">
        <v>1.55</v>
      </c>
      <c r="O4" s="91">
        <v>0.25900000000000001</v>
      </c>
      <c r="P4" s="31">
        <v>0</v>
      </c>
      <c r="Q4" s="31">
        <v>0</v>
      </c>
      <c r="R4" s="31">
        <v>0</v>
      </c>
      <c r="S4" s="31">
        <v>0</v>
      </c>
      <c r="T4" s="31">
        <v>0</v>
      </c>
      <c r="U4" s="31">
        <v>0</v>
      </c>
      <c r="V4" s="91">
        <v>0</v>
      </c>
    </row>
    <row r="5" spans="1:22" s="3" customFormat="1" ht="15.75" thickBot="1" x14ac:dyDescent="0.3">
      <c r="A5" s="2"/>
      <c r="B5" s="87" t="s">
        <v>59</v>
      </c>
      <c r="C5" s="89">
        <f>IF(D5=0,0,(D5/(F5/12)))</f>
        <v>0.62535782285217878</v>
      </c>
      <c r="D5" s="6">
        <f>SUM(D2:D4)</f>
        <v>8562.33</v>
      </c>
      <c r="E5" s="6">
        <f>SUM(E2:E4)</f>
        <v>163559.73000000001</v>
      </c>
      <c r="F5" s="6">
        <f>SUM(F2:F4)</f>
        <v>164302.67000000001</v>
      </c>
      <c r="G5" s="6">
        <f>SUM(G2:G4)</f>
        <v>237083.66999999998</v>
      </c>
      <c r="H5" s="63">
        <f>SUM(H2:H4)</f>
        <v>72781</v>
      </c>
      <c r="I5" s="90">
        <f>IF(G5=0,0,(1-(F5/G5)))</f>
        <v>0.30698444983578999</v>
      </c>
      <c r="J5" s="63">
        <f>SUM(J2:J4)</f>
        <v>294.67</v>
      </c>
      <c r="K5" s="63">
        <f>SUM(K2:K4)</f>
        <v>127888.06999999999</v>
      </c>
      <c r="L5" s="63">
        <f>SUM(L2:L4)</f>
        <v>136506.91999999998</v>
      </c>
      <c r="M5" s="63">
        <f>SUM(M2:M4)</f>
        <v>191144.27000000002</v>
      </c>
      <c r="N5" s="63">
        <f>SUM(N2:N4)</f>
        <v>54637.350000000006</v>
      </c>
      <c r="O5" s="90">
        <f>IF(M5=0,0,(1-(L5/M5)))</f>
        <v>0.28584351495339111</v>
      </c>
      <c r="P5" s="63">
        <f t="shared" ref="P5:U5" si="0">SUM(P2:P4)</f>
        <v>237123</v>
      </c>
      <c r="Q5" s="63">
        <f t="shared" si="0"/>
        <v>120.27000000000004</v>
      </c>
      <c r="R5" s="63">
        <f t="shared" si="0"/>
        <v>133948.14000000001</v>
      </c>
      <c r="S5" s="63">
        <f t="shared" si="0"/>
        <v>134381.45000000001</v>
      </c>
      <c r="T5" s="63">
        <f t="shared" si="0"/>
        <v>194760.31</v>
      </c>
      <c r="U5" s="63">
        <f t="shared" si="0"/>
        <v>60378.86</v>
      </c>
      <c r="V5" s="90">
        <f>IF(T5=0,0,(1-(S5/T5)))</f>
        <v>0.31001624509634429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B1149-2CF6-488D-BC9A-15D983EF10EC}">
  <sheetPr>
    <tabColor theme="9" tint="-0.249977111117893"/>
    <pageSetUpPr fitToPage="1"/>
  </sheetPr>
  <dimension ref="A1:V16"/>
  <sheetViews>
    <sheetView zoomScale="90" zoomScaleNormal="90" workbookViewId="0">
      <selection activeCell="B8" sqref="B8:B10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9.140625" style="78" bestFit="1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10.14062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14" t="s">
        <v>46</v>
      </c>
      <c r="B2" s="15" t="s">
        <v>95</v>
      </c>
      <c r="C2" s="68">
        <f>IF(D2=0,0,(D2/(F2/12)))</f>
        <v>3.0403465191415973</v>
      </c>
      <c r="D2" s="79">
        <v>237926.51</v>
      </c>
      <c r="E2" s="79">
        <v>985630.1</v>
      </c>
      <c r="F2" s="79">
        <v>939076.55</v>
      </c>
      <c r="G2" s="79">
        <v>1330814.0900000001</v>
      </c>
      <c r="H2" s="79">
        <v>391737.54</v>
      </c>
      <c r="I2" s="80">
        <f>IF(G2=0,0,ROUND((1-F2/G2),3))</f>
        <v>0.29399999999999998</v>
      </c>
      <c r="J2" s="79">
        <v>251855.15</v>
      </c>
      <c r="K2" s="79">
        <v>926325.96</v>
      </c>
      <c r="L2" s="79">
        <v>911971.3</v>
      </c>
      <c r="M2" s="79">
        <v>1298664.3600000001</v>
      </c>
      <c r="N2" s="79">
        <v>386693.06</v>
      </c>
      <c r="O2" s="80">
        <f>IF(M2=0,0,ROUND((1-L2/M2),3))</f>
        <v>0.29799999999999999</v>
      </c>
      <c r="P2" s="79">
        <v>1330769</v>
      </c>
      <c r="Q2" s="79">
        <v>215453.17</v>
      </c>
      <c r="R2" s="79">
        <v>974874.05</v>
      </c>
      <c r="S2" s="79">
        <v>944110.33</v>
      </c>
      <c r="T2" s="79">
        <v>1342506.91</v>
      </c>
      <c r="U2" s="79">
        <v>398396.58</v>
      </c>
      <c r="V2" s="80">
        <f>IF(T2=0,0,ROUND((1-S2/T2),3))</f>
        <v>0.29699999999999999</v>
      </c>
    </row>
    <row r="3" spans="1:22" x14ac:dyDescent="0.25">
      <c r="A3" s="16" t="s">
        <v>48</v>
      </c>
      <c r="B3" s="17" t="s">
        <v>95</v>
      </c>
      <c r="C3" s="68">
        <f t="shared" ref="C3:C12" si="0">IF(D3=0,0,(D3/(F3/12)))</f>
        <v>6.6731376724377371</v>
      </c>
      <c r="D3" s="79">
        <v>15015.95</v>
      </c>
      <c r="E3" s="79">
        <v>19621.05</v>
      </c>
      <c r="F3" s="79">
        <v>27002.5</v>
      </c>
      <c r="G3" s="79">
        <v>43143.03</v>
      </c>
      <c r="H3" s="79">
        <v>16140.53</v>
      </c>
      <c r="I3" s="80">
        <f t="shared" ref="I3:I12" si="1">IF(G3=0,0,ROUND((1-F3/G3),3))</f>
        <v>0.374</v>
      </c>
      <c r="J3" s="79">
        <v>24551.599999999999</v>
      </c>
      <c r="K3" s="79">
        <v>6996.02</v>
      </c>
      <c r="L3" s="79">
        <v>51785.120000000003</v>
      </c>
      <c r="M3" s="79">
        <v>78326.259999999995</v>
      </c>
      <c r="N3" s="79">
        <v>26541.14</v>
      </c>
      <c r="O3" s="80">
        <f t="shared" ref="O3:O12" si="2">IF(M3=0,0,ROUND((1-L3/M3),3))</f>
        <v>0.33900000000000002</v>
      </c>
      <c r="P3" s="79">
        <v>43142</v>
      </c>
      <c r="Q3" s="79">
        <v>72972.95</v>
      </c>
      <c r="R3" s="79">
        <v>105848.11</v>
      </c>
      <c r="S3" s="79">
        <v>78890.759999999995</v>
      </c>
      <c r="T3" s="79">
        <v>119643.3</v>
      </c>
      <c r="U3" s="79">
        <v>40752.54</v>
      </c>
      <c r="V3" s="80">
        <f t="shared" ref="V3:V12" si="3">IF(T3=0,0,ROUND((1-S3/T3),3))</f>
        <v>0.34100000000000003</v>
      </c>
    </row>
    <row r="4" spans="1:22" x14ac:dyDescent="0.25">
      <c r="A4" s="16" t="s">
        <v>49</v>
      </c>
      <c r="B4" s="17" t="s">
        <v>95</v>
      </c>
      <c r="C4" s="68">
        <f t="shared" si="0"/>
        <v>6.9516991879679848</v>
      </c>
      <c r="D4" s="79">
        <v>107261.26</v>
      </c>
      <c r="E4" s="79">
        <v>197156.48000000001</v>
      </c>
      <c r="F4" s="79">
        <v>185154.03</v>
      </c>
      <c r="G4" s="79">
        <v>249078.89</v>
      </c>
      <c r="H4" s="79">
        <v>63924.86</v>
      </c>
      <c r="I4" s="80">
        <f t="shared" si="1"/>
        <v>0.25700000000000001</v>
      </c>
      <c r="J4" s="79">
        <v>101798.7</v>
      </c>
      <c r="K4" s="79">
        <v>197756.08</v>
      </c>
      <c r="L4" s="79">
        <v>96185.77</v>
      </c>
      <c r="M4" s="79">
        <v>136982.29999999999</v>
      </c>
      <c r="N4" s="79">
        <v>40796.53</v>
      </c>
      <c r="O4" s="80">
        <f t="shared" si="2"/>
        <v>0.29799999999999999</v>
      </c>
      <c r="P4" s="79">
        <v>249124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f t="shared" si="3"/>
        <v>0</v>
      </c>
    </row>
    <row r="5" spans="1:22" x14ac:dyDescent="0.25">
      <c r="A5" s="18" t="s">
        <v>46</v>
      </c>
      <c r="B5" s="19" t="s">
        <v>96</v>
      </c>
      <c r="C5" s="69">
        <f t="shared" ref="C5:C7" si="4">IF(D5=0,0,(D5/(F5/12)))</f>
        <v>0.11512190903191746</v>
      </c>
      <c r="D5" s="32">
        <v>1051.5899999999999</v>
      </c>
      <c r="E5" s="32">
        <v>112584.66</v>
      </c>
      <c r="F5" s="32">
        <v>109614.93</v>
      </c>
      <c r="G5" s="32">
        <v>141171.13</v>
      </c>
      <c r="H5" s="32">
        <v>31556.2</v>
      </c>
      <c r="I5" s="81">
        <f t="shared" ref="I5:I7" si="5">IF(G5=0,0,ROUND((1-F5/G5),3))</f>
        <v>0.224</v>
      </c>
      <c r="J5" s="32">
        <v>146.07</v>
      </c>
      <c r="K5" s="32">
        <v>39719.57</v>
      </c>
      <c r="L5" s="32">
        <v>39381.31</v>
      </c>
      <c r="M5" s="32">
        <v>52333.27</v>
      </c>
      <c r="N5" s="32">
        <v>12951.96</v>
      </c>
      <c r="O5" s="81">
        <f t="shared" ref="O5:O7" si="6">IF(M5=0,0,ROUND((1-L5/M5),3))</f>
        <v>0.247</v>
      </c>
      <c r="P5" s="32">
        <v>141173</v>
      </c>
      <c r="Q5" s="32">
        <v>0</v>
      </c>
      <c r="R5" s="32">
        <v>513.79999999999995</v>
      </c>
      <c r="S5" s="32">
        <v>3353.8</v>
      </c>
      <c r="T5" s="32">
        <v>4269.1000000000004</v>
      </c>
      <c r="U5" s="32">
        <v>915.3</v>
      </c>
      <c r="V5" s="81">
        <f t="shared" ref="V5:V7" si="7">IF(T5=0,0,ROUND((1-S5/T5),3))</f>
        <v>0.214</v>
      </c>
    </row>
    <row r="6" spans="1:22" x14ac:dyDescent="0.25">
      <c r="A6" s="18" t="s">
        <v>48</v>
      </c>
      <c r="B6" s="19" t="s">
        <v>96</v>
      </c>
      <c r="C6" s="69">
        <f t="shared" si="4"/>
        <v>0</v>
      </c>
      <c r="D6" s="32">
        <v>0</v>
      </c>
      <c r="E6" s="32">
        <v>0</v>
      </c>
      <c r="F6" s="32">
        <v>0</v>
      </c>
      <c r="G6" s="32">
        <v>0</v>
      </c>
      <c r="H6" s="32">
        <v>0</v>
      </c>
      <c r="I6" s="81">
        <f t="shared" si="5"/>
        <v>0</v>
      </c>
      <c r="J6" s="32">
        <v>0</v>
      </c>
      <c r="K6" s="32">
        <v>0</v>
      </c>
      <c r="L6" s="32">
        <v>0</v>
      </c>
      <c r="M6" s="32">
        <v>0</v>
      </c>
      <c r="N6" s="32">
        <v>0</v>
      </c>
      <c r="O6" s="81">
        <f t="shared" si="6"/>
        <v>0</v>
      </c>
      <c r="P6" s="32">
        <v>0</v>
      </c>
      <c r="Q6" s="32">
        <v>0</v>
      </c>
      <c r="R6" s="32">
        <v>0</v>
      </c>
      <c r="S6" s="32">
        <v>0</v>
      </c>
      <c r="T6" s="32">
        <v>0</v>
      </c>
      <c r="U6" s="32">
        <v>0</v>
      </c>
      <c r="V6" s="81">
        <f t="shared" si="7"/>
        <v>0</v>
      </c>
    </row>
    <row r="7" spans="1:22" x14ac:dyDescent="0.25">
      <c r="A7" s="18" t="s">
        <v>49</v>
      </c>
      <c r="B7" s="19" t="s">
        <v>96</v>
      </c>
      <c r="C7" s="69">
        <f t="shared" si="4"/>
        <v>0</v>
      </c>
      <c r="D7" s="32">
        <v>0</v>
      </c>
      <c r="E7" s="32">
        <v>478.26</v>
      </c>
      <c r="F7" s="32">
        <v>461.05</v>
      </c>
      <c r="G7" s="32">
        <v>599.98</v>
      </c>
      <c r="H7" s="32">
        <v>138.93</v>
      </c>
      <c r="I7" s="81">
        <f t="shared" si="5"/>
        <v>0.23200000000000001</v>
      </c>
      <c r="J7" s="32">
        <v>-215.72</v>
      </c>
      <c r="K7" s="32">
        <v>608.96</v>
      </c>
      <c r="L7" s="32">
        <v>536.34</v>
      </c>
      <c r="M7" s="32">
        <v>719.94</v>
      </c>
      <c r="N7" s="32">
        <v>183.6</v>
      </c>
      <c r="O7" s="81">
        <f t="shared" si="6"/>
        <v>0.255</v>
      </c>
      <c r="P7" s="32">
        <v>600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f t="shared" si="7"/>
        <v>0</v>
      </c>
    </row>
    <row r="8" spans="1:22" x14ac:dyDescent="0.25">
      <c r="A8" s="20" t="s">
        <v>46</v>
      </c>
      <c r="B8" s="21" t="s">
        <v>157</v>
      </c>
      <c r="C8" s="70">
        <f t="shared" si="0"/>
        <v>1.7987724041034669</v>
      </c>
      <c r="D8" s="33">
        <v>4387.05</v>
      </c>
      <c r="E8" s="33">
        <v>4689.1099999999997</v>
      </c>
      <c r="F8" s="33">
        <v>29266.959999999999</v>
      </c>
      <c r="G8" s="33">
        <v>35872.89</v>
      </c>
      <c r="H8" s="33">
        <v>6605.93</v>
      </c>
      <c r="I8" s="82">
        <f t="shared" si="1"/>
        <v>0.184</v>
      </c>
      <c r="J8" s="33">
        <v>0</v>
      </c>
      <c r="K8" s="33">
        <v>-12.29</v>
      </c>
      <c r="L8" s="33">
        <v>17.850000000000001</v>
      </c>
      <c r="M8" s="33">
        <v>34.93</v>
      </c>
      <c r="N8" s="33">
        <v>17.079999999999998</v>
      </c>
      <c r="O8" s="82">
        <f t="shared" si="2"/>
        <v>0.48899999999999999</v>
      </c>
      <c r="P8" s="33">
        <v>35968</v>
      </c>
      <c r="Q8" s="33">
        <v>0</v>
      </c>
      <c r="R8" s="33">
        <v>0</v>
      </c>
      <c r="S8" s="33">
        <v>0</v>
      </c>
      <c r="T8" s="33">
        <v>0</v>
      </c>
      <c r="U8" s="33">
        <v>0</v>
      </c>
      <c r="V8" s="82">
        <f t="shared" si="3"/>
        <v>0</v>
      </c>
    </row>
    <row r="9" spans="1:22" x14ac:dyDescent="0.25">
      <c r="A9" s="20" t="s">
        <v>48</v>
      </c>
      <c r="B9" s="21" t="s">
        <v>157</v>
      </c>
      <c r="C9" s="70">
        <f t="shared" si="0"/>
        <v>4.8894697239713283</v>
      </c>
      <c r="D9" s="33">
        <v>308.66000000000003</v>
      </c>
      <c r="E9" s="33">
        <v>335.26</v>
      </c>
      <c r="F9" s="33">
        <v>757.53</v>
      </c>
      <c r="G9" s="33">
        <v>406.03</v>
      </c>
      <c r="H9" s="33">
        <v>-351.5</v>
      </c>
      <c r="I9" s="82">
        <f t="shared" si="1"/>
        <v>-0.86599999999999999</v>
      </c>
      <c r="J9" s="33">
        <v>0</v>
      </c>
      <c r="K9" s="33">
        <v>-23.04</v>
      </c>
      <c r="L9" s="33">
        <v>8.85</v>
      </c>
      <c r="M9" s="33">
        <v>17.97</v>
      </c>
      <c r="N9" s="33">
        <v>9.1199999999999992</v>
      </c>
      <c r="O9" s="82">
        <f t="shared" si="2"/>
        <v>0.50800000000000001</v>
      </c>
      <c r="P9" s="33">
        <v>406</v>
      </c>
      <c r="Q9" s="33">
        <v>0</v>
      </c>
      <c r="R9" s="33">
        <v>0</v>
      </c>
      <c r="S9" s="33">
        <v>4.08</v>
      </c>
      <c r="T9" s="33">
        <v>7.03</v>
      </c>
      <c r="U9" s="33">
        <v>2.95</v>
      </c>
      <c r="V9" s="82">
        <f t="shared" si="3"/>
        <v>0.42</v>
      </c>
    </row>
    <row r="10" spans="1:22" ht="15.75" thickBot="1" x14ac:dyDescent="0.3">
      <c r="A10" s="20" t="s">
        <v>49</v>
      </c>
      <c r="B10" s="21" t="s">
        <v>157</v>
      </c>
      <c r="C10" s="70">
        <f t="shared" si="0"/>
        <v>6.6701504624696302</v>
      </c>
      <c r="D10" s="33">
        <v>1304.07</v>
      </c>
      <c r="E10" s="33">
        <v>-257.87</v>
      </c>
      <c r="F10" s="33">
        <v>2346.1</v>
      </c>
      <c r="G10" s="33">
        <v>3149.22</v>
      </c>
      <c r="H10" s="33">
        <v>803.12</v>
      </c>
      <c r="I10" s="82">
        <f t="shared" si="1"/>
        <v>0.255</v>
      </c>
      <c r="J10" s="33">
        <v>21.72</v>
      </c>
      <c r="K10" s="33">
        <v>74.33</v>
      </c>
      <c r="L10" s="33">
        <v>19.21</v>
      </c>
      <c r="M10" s="33">
        <v>29.62</v>
      </c>
      <c r="N10" s="33">
        <v>10.41</v>
      </c>
      <c r="O10" s="82">
        <f t="shared" si="2"/>
        <v>0.35099999999999998</v>
      </c>
      <c r="P10" s="33">
        <v>3094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f t="shared" si="3"/>
        <v>0</v>
      </c>
    </row>
    <row r="11" spans="1:22" s="3" customFormat="1" ht="15.75" thickBot="1" x14ac:dyDescent="0.3">
      <c r="A11" s="2"/>
      <c r="B11" s="87" t="s">
        <v>59</v>
      </c>
      <c r="C11" s="89">
        <f t="shared" si="0"/>
        <v>3.406609263738515</v>
      </c>
      <c r="D11" s="6">
        <f>SUM(D2:D10)</f>
        <v>367255.09</v>
      </c>
      <c r="E11" s="6">
        <f>SUM(E2:E10)</f>
        <v>1320237.05</v>
      </c>
      <c r="F11" s="6">
        <f>SUM(F2:F10)</f>
        <v>1293679.6500000001</v>
      </c>
      <c r="G11" s="6">
        <f>SUM(G2:G10)</f>
        <v>1804235.26</v>
      </c>
      <c r="H11" s="63">
        <f>SUM(H2:H10)</f>
        <v>510555.61</v>
      </c>
      <c r="I11" s="90">
        <f t="shared" si="1"/>
        <v>0.28299999999999997</v>
      </c>
      <c r="J11" s="63">
        <f>SUM(J2:J10)</f>
        <v>378157.52</v>
      </c>
      <c r="K11" s="63">
        <f>SUM(K2:K10)</f>
        <v>1171445.5900000001</v>
      </c>
      <c r="L11" s="63">
        <f>SUM(L2:L10)</f>
        <v>1099905.7500000002</v>
      </c>
      <c r="M11" s="63">
        <f>SUM(M2:M10)</f>
        <v>1567108.6500000001</v>
      </c>
      <c r="N11" s="63">
        <f>SUM(N2:N10)</f>
        <v>467202.89999999997</v>
      </c>
      <c r="O11" s="90">
        <f t="shared" si="2"/>
        <v>0.29799999999999999</v>
      </c>
      <c r="P11" s="63">
        <f t="shared" ref="P11:U11" si="8">SUM(P2:P10)</f>
        <v>1804276</v>
      </c>
      <c r="Q11" s="63">
        <f t="shared" si="8"/>
        <v>288426.12</v>
      </c>
      <c r="R11" s="63">
        <f t="shared" si="8"/>
        <v>1081235.9600000002</v>
      </c>
      <c r="S11" s="63">
        <f t="shared" si="8"/>
        <v>1026358.97</v>
      </c>
      <c r="T11" s="63">
        <f t="shared" si="8"/>
        <v>1466426.34</v>
      </c>
      <c r="U11" s="63">
        <f t="shared" si="8"/>
        <v>440067.37</v>
      </c>
      <c r="V11" s="90">
        <f t="shared" si="3"/>
        <v>0.3</v>
      </c>
    </row>
    <row r="12" spans="1:22" s="3" customFormat="1" ht="15.75" thickBot="1" x14ac:dyDescent="0.3">
      <c r="A12" s="2"/>
      <c r="B12" s="87" t="s">
        <v>142</v>
      </c>
      <c r="C12" s="89">
        <f t="shared" si="0"/>
        <v>3.5254866070043995</v>
      </c>
      <c r="D12" s="6">
        <f>D11</f>
        <v>367255.09</v>
      </c>
      <c r="E12" s="6">
        <f>E11-C15</f>
        <v>1276614.93</v>
      </c>
      <c r="F12" s="6">
        <f>F11-C15</f>
        <v>1250057.53</v>
      </c>
      <c r="G12" s="6">
        <f>G11</f>
        <v>1804235.26</v>
      </c>
      <c r="H12" s="63">
        <f>H11+C15</f>
        <v>554177.73</v>
      </c>
      <c r="I12" s="90">
        <f t="shared" si="1"/>
        <v>0.307</v>
      </c>
      <c r="J12" s="63">
        <f>J11</f>
        <v>378157.52</v>
      </c>
      <c r="K12" s="63">
        <f>K11-C16</f>
        <v>1168573.9600000002</v>
      </c>
      <c r="L12" s="63">
        <f>L11-C16</f>
        <v>1097034.1200000003</v>
      </c>
      <c r="M12" s="63">
        <f>M11</f>
        <v>1567108.6500000001</v>
      </c>
      <c r="N12" s="63">
        <f>N11+C16</f>
        <v>470074.52999999997</v>
      </c>
      <c r="O12" s="90">
        <f t="shared" si="2"/>
        <v>0.3</v>
      </c>
      <c r="P12" s="63">
        <f t="shared" ref="P12:U12" si="9">P11</f>
        <v>1804276</v>
      </c>
      <c r="Q12" s="63">
        <f t="shared" si="9"/>
        <v>288426.12</v>
      </c>
      <c r="R12" s="63">
        <f t="shared" si="9"/>
        <v>1081235.9600000002</v>
      </c>
      <c r="S12" s="63">
        <f t="shared" si="9"/>
        <v>1026358.97</v>
      </c>
      <c r="T12" s="63">
        <f t="shared" si="9"/>
        <v>1466426.34</v>
      </c>
      <c r="U12" s="63">
        <f t="shared" si="9"/>
        <v>440067.37</v>
      </c>
      <c r="V12" s="90">
        <f t="shared" si="3"/>
        <v>0.3</v>
      </c>
    </row>
    <row r="13" spans="1:22" ht="15.75" thickBot="1" x14ac:dyDescent="0.3">
      <c r="B13" s="2"/>
      <c r="D13" s="2"/>
      <c r="E13" s="2"/>
      <c r="F13" s="2"/>
      <c r="G13" s="2"/>
      <c r="H13" s="2"/>
      <c r="I13" s="145"/>
      <c r="J13" s="3"/>
      <c r="K13" s="3"/>
      <c r="L13" s="3"/>
      <c r="M13" s="3"/>
      <c r="N13" s="3"/>
      <c r="O13" s="145"/>
    </row>
    <row r="14" spans="1:22" ht="15.75" thickBot="1" x14ac:dyDescent="0.3">
      <c r="B14" s="146" t="s">
        <v>128</v>
      </c>
      <c r="C14" s="148" t="s">
        <v>129</v>
      </c>
      <c r="D14" s="148" t="s">
        <v>130</v>
      </c>
      <c r="E14" s="149" t="s">
        <v>131</v>
      </c>
      <c r="F14" s="149" t="s">
        <v>132</v>
      </c>
      <c r="G14" s="149" t="s">
        <v>133</v>
      </c>
      <c r="H14" s="149" t="s">
        <v>134</v>
      </c>
      <c r="I14" s="149" t="s">
        <v>135</v>
      </c>
      <c r="J14" s="150" t="s">
        <v>136</v>
      </c>
      <c r="K14" s="149" t="s">
        <v>137</v>
      </c>
      <c r="L14" s="149" t="s">
        <v>139</v>
      </c>
      <c r="M14" s="149" t="s">
        <v>140</v>
      </c>
      <c r="N14" s="149" t="s">
        <v>141</v>
      </c>
      <c r="O14" s="149" t="s">
        <v>138</v>
      </c>
    </row>
    <row r="15" spans="1:22" ht="15.75" thickBot="1" x14ac:dyDescent="0.3">
      <c r="B15" s="147">
        <v>2025</v>
      </c>
      <c r="C15" s="151">
        <f>SUM(D15:O15)</f>
        <v>43622.12</v>
      </c>
      <c r="D15" s="153">
        <v>3204.21</v>
      </c>
      <c r="E15" s="153">
        <v>3059.35</v>
      </c>
      <c r="F15" s="153">
        <v>5109.17</v>
      </c>
      <c r="G15" s="153">
        <v>4405.55</v>
      </c>
      <c r="H15" s="153">
        <v>6236.56</v>
      </c>
      <c r="I15" s="154">
        <v>3639.89</v>
      </c>
      <c r="J15" s="155">
        <v>3170.21</v>
      </c>
      <c r="K15" s="155">
        <v>2362.4</v>
      </c>
      <c r="L15" s="155">
        <v>3052.26</v>
      </c>
      <c r="M15" s="155">
        <v>3178.87</v>
      </c>
      <c r="N15" s="155">
        <v>3287.47</v>
      </c>
      <c r="O15" s="156">
        <v>2916.18</v>
      </c>
    </row>
    <row r="16" spans="1:22" ht="15.75" thickBot="1" x14ac:dyDescent="0.3">
      <c r="B16" s="147">
        <v>2024</v>
      </c>
      <c r="C16" s="152">
        <f>SUM(D16:O16)</f>
        <v>2871.63</v>
      </c>
      <c r="D16" s="157">
        <v>0</v>
      </c>
      <c r="E16" s="157">
        <v>0</v>
      </c>
      <c r="F16" s="157">
        <v>0</v>
      </c>
      <c r="G16" s="157">
        <v>0</v>
      </c>
      <c r="H16" s="157">
        <v>0</v>
      </c>
      <c r="I16" s="158">
        <v>0</v>
      </c>
      <c r="J16" s="159">
        <v>0</v>
      </c>
      <c r="K16" s="159">
        <v>0</v>
      </c>
      <c r="L16" s="159">
        <v>0</v>
      </c>
      <c r="M16" s="159">
        <v>0</v>
      </c>
      <c r="N16" s="159">
        <v>0</v>
      </c>
      <c r="O16" s="160">
        <v>2871.63</v>
      </c>
    </row>
  </sheetData>
  <pageMargins left="0.25" right="0.25" top="0.75" bottom="0.75" header="0.3" footer="0.3"/>
  <pageSetup scale="52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F9268-0C26-43E5-A0A7-E68CA31121B6}">
  <sheetPr>
    <tabColor theme="9" tint="-0.249977111117893"/>
  </sheetPr>
  <dimension ref="A1:V8"/>
  <sheetViews>
    <sheetView zoomScale="85" zoomScaleNormal="85" workbookViewId="0">
      <selection activeCell="B2" sqref="B2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14" t="s">
        <v>46</v>
      </c>
      <c r="B2" s="15" t="s">
        <v>95</v>
      </c>
      <c r="C2" s="68" cm="1">
        <f t="array" ref="C2:V4">'P - All'!C2:V4</f>
        <v>3.0403465191415973</v>
      </c>
      <c r="D2" s="79">
        <v>237926.51</v>
      </c>
      <c r="E2" s="79">
        <v>985630.1</v>
      </c>
      <c r="F2" s="79">
        <v>939076.55</v>
      </c>
      <c r="G2" s="79">
        <v>1330814.0900000001</v>
      </c>
      <c r="H2" s="79">
        <v>391737.54</v>
      </c>
      <c r="I2" s="80">
        <v>0.29399999999999998</v>
      </c>
      <c r="J2" s="79">
        <v>251855.15</v>
      </c>
      <c r="K2" s="79">
        <v>926325.96</v>
      </c>
      <c r="L2" s="79">
        <v>911971.3</v>
      </c>
      <c r="M2" s="79">
        <v>1298664.3600000001</v>
      </c>
      <c r="N2" s="79">
        <v>386693.06</v>
      </c>
      <c r="O2" s="80">
        <v>0.29799999999999999</v>
      </c>
      <c r="P2" s="79">
        <v>1330769</v>
      </c>
      <c r="Q2" s="79">
        <v>215453.17</v>
      </c>
      <c r="R2" s="79">
        <v>974874.05</v>
      </c>
      <c r="S2" s="79">
        <v>944110.33</v>
      </c>
      <c r="T2" s="79">
        <v>1342506.91</v>
      </c>
      <c r="U2" s="79">
        <v>398396.58</v>
      </c>
      <c r="V2" s="80">
        <v>0.29699999999999999</v>
      </c>
    </row>
    <row r="3" spans="1:22" x14ac:dyDescent="0.25">
      <c r="A3" s="16" t="s">
        <v>48</v>
      </c>
      <c r="B3" s="17" t="s">
        <v>95</v>
      </c>
      <c r="C3" s="68">
        <v>6.6731376724377371</v>
      </c>
      <c r="D3" s="79">
        <v>15015.95</v>
      </c>
      <c r="E3" s="79">
        <v>19621.05</v>
      </c>
      <c r="F3" s="79">
        <v>27002.5</v>
      </c>
      <c r="G3" s="79">
        <v>43143.03</v>
      </c>
      <c r="H3" s="79">
        <v>16140.53</v>
      </c>
      <c r="I3" s="80">
        <v>0.374</v>
      </c>
      <c r="J3" s="79">
        <v>24551.599999999999</v>
      </c>
      <c r="K3" s="79">
        <v>6996.02</v>
      </c>
      <c r="L3" s="79">
        <v>51785.120000000003</v>
      </c>
      <c r="M3" s="79">
        <v>78326.259999999995</v>
      </c>
      <c r="N3" s="79">
        <v>26541.14</v>
      </c>
      <c r="O3" s="80">
        <v>0.33900000000000002</v>
      </c>
      <c r="P3" s="79">
        <v>43142</v>
      </c>
      <c r="Q3" s="79">
        <v>72972.95</v>
      </c>
      <c r="R3" s="79">
        <v>105848.11</v>
      </c>
      <c r="S3" s="79">
        <v>78890.759999999995</v>
      </c>
      <c r="T3" s="79">
        <v>119643.3</v>
      </c>
      <c r="U3" s="79">
        <v>40752.54</v>
      </c>
      <c r="V3" s="80">
        <v>0.34100000000000003</v>
      </c>
    </row>
    <row r="4" spans="1:22" x14ac:dyDescent="0.25">
      <c r="A4" s="16" t="s">
        <v>49</v>
      </c>
      <c r="B4" s="17" t="s">
        <v>95</v>
      </c>
      <c r="C4" s="68">
        <v>6.9516991879679848</v>
      </c>
      <c r="D4" s="79">
        <v>107261.26</v>
      </c>
      <c r="E4" s="79">
        <v>197156.48000000001</v>
      </c>
      <c r="F4" s="79">
        <v>185154.03</v>
      </c>
      <c r="G4" s="79">
        <v>249078.89</v>
      </c>
      <c r="H4" s="79">
        <v>63924.86</v>
      </c>
      <c r="I4" s="80">
        <v>0.25700000000000001</v>
      </c>
      <c r="J4" s="79">
        <v>101798.7</v>
      </c>
      <c r="K4" s="79">
        <v>197756.08</v>
      </c>
      <c r="L4" s="79">
        <v>96185.77</v>
      </c>
      <c r="M4" s="79">
        <v>136982.29999999999</v>
      </c>
      <c r="N4" s="79">
        <v>40796.53</v>
      </c>
      <c r="O4" s="80">
        <v>0.29799999999999999</v>
      </c>
      <c r="P4" s="79">
        <v>249124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v>0</v>
      </c>
    </row>
    <row r="5" spans="1:22" x14ac:dyDescent="0.25">
      <c r="A5" s="163" t="s">
        <v>46</v>
      </c>
      <c r="B5" s="21" t="s">
        <v>157</v>
      </c>
      <c r="C5" s="70" cm="1">
        <f t="array" ref="C5:V7">'P - All'!C8:V10</f>
        <v>1.7987724041034669</v>
      </c>
      <c r="D5" s="33">
        <v>4387.05</v>
      </c>
      <c r="E5" s="33">
        <v>4689.1099999999997</v>
      </c>
      <c r="F5" s="33">
        <v>29266.959999999999</v>
      </c>
      <c r="G5" s="33">
        <v>35872.89</v>
      </c>
      <c r="H5" s="33">
        <v>6605.93</v>
      </c>
      <c r="I5" s="82">
        <v>0.184</v>
      </c>
      <c r="J5" s="33">
        <v>0</v>
      </c>
      <c r="K5" s="33">
        <v>-12.29</v>
      </c>
      <c r="L5" s="33">
        <v>17.850000000000001</v>
      </c>
      <c r="M5" s="33">
        <v>34.93</v>
      </c>
      <c r="N5" s="33">
        <v>17.079999999999998</v>
      </c>
      <c r="O5" s="82">
        <v>0.48899999999999999</v>
      </c>
      <c r="P5" s="33">
        <v>35968</v>
      </c>
      <c r="Q5" s="33">
        <v>0</v>
      </c>
      <c r="R5" s="33">
        <v>0</v>
      </c>
      <c r="S5" s="33">
        <v>0</v>
      </c>
      <c r="T5" s="33">
        <v>0</v>
      </c>
      <c r="U5" s="33">
        <v>0</v>
      </c>
      <c r="V5" s="82">
        <v>0</v>
      </c>
    </row>
    <row r="6" spans="1:22" x14ac:dyDescent="0.25">
      <c r="A6" s="20" t="s">
        <v>48</v>
      </c>
      <c r="B6" s="21" t="s">
        <v>157</v>
      </c>
      <c r="C6" s="70">
        <v>4.8894697239713283</v>
      </c>
      <c r="D6" s="33">
        <v>308.66000000000003</v>
      </c>
      <c r="E6" s="33">
        <v>335.26</v>
      </c>
      <c r="F6" s="33">
        <v>757.53</v>
      </c>
      <c r="G6" s="33">
        <v>406.03</v>
      </c>
      <c r="H6" s="33">
        <v>-351.5</v>
      </c>
      <c r="I6" s="82">
        <v>-0.86599999999999999</v>
      </c>
      <c r="J6" s="33">
        <v>0</v>
      </c>
      <c r="K6" s="33">
        <v>-23.04</v>
      </c>
      <c r="L6" s="33">
        <v>8.85</v>
      </c>
      <c r="M6" s="33">
        <v>17.97</v>
      </c>
      <c r="N6" s="33">
        <v>9.1199999999999992</v>
      </c>
      <c r="O6" s="82">
        <v>0.50800000000000001</v>
      </c>
      <c r="P6" s="33">
        <v>406</v>
      </c>
      <c r="Q6" s="33">
        <v>0</v>
      </c>
      <c r="R6" s="33">
        <v>0</v>
      </c>
      <c r="S6" s="33">
        <v>4.08</v>
      </c>
      <c r="T6" s="33">
        <v>7.03</v>
      </c>
      <c r="U6" s="33">
        <v>2.95</v>
      </c>
      <c r="V6" s="82">
        <v>0.42</v>
      </c>
    </row>
    <row r="7" spans="1:22" ht="15.75" thickBot="1" x14ac:dyDescent="0.3">
      <c r="A7" s="20" t="s">
        <v>49</v>
      </c>
      <c r="B7" s="21" t="s">
        <v>157</v>
      </c>
      <c r="C7" s="70">
        <v>6.6701504624696302</v>
      </c>
      <c r="D7" s="33">
        <v>1304.07</v>
      </c>
      <c r="E7" s="33">
        <v>-257.87</v>
      </c>
      <c r="F7" s="33">
        <v>2346.1</v>
      </c>
      <c r="G7" s="33">
        <v>3149.22</v>
      </c>
      <c r="H7" s="33">
        <v>803.12</v>
      </c>
      <c r="I7" s="82">
        <v>0.255</v>
      </c>
      <c r="J7" s="33">
        <v>21.72</v>
      </c>
      <c r="K7" s="33">
        <v>74.33</v>
      </c>
      <c r="L7" s="33">
        <v>19.21</v>
      </c>
      <c r="M7" s="33">
        <v>29.62</v>
      </c>
      <c r="N7" s="33">
        <v>10.41</v>
      </c>
      <c r="O7" s="82">
        <v>0.35099999999999998</v>
      </c>
      <c r="P7" s="33">
        <v>3094</v>
      </c>
      <c r="Q7" s="33">
        <v>0</v>
      </c>
      <c r="R7" s="33">
        <v>0</v>
      </c>
      <c r="S7" s="33">
        <v>0</v>
      </c>
      <c r="T7" s="33">
        <v>0</v>
      </c>
      <c r="U7" s="33">
        <v>0</v>
      </c>
      <c r="V7" s="82">
        <v>0</v>
      </c>
    </row>
    <row r="8" spans="1:22" s="3" customFormat="1" ht="15.75" thickBot="1" x14ac:dyDescent="0.3">
      <c r="A8" s="2"/>
      <c r="B8" s="87" t="s">
        <v>59</v>
      </c>
      <c r="C8" s="89">
        <f>IF(D8=0,0,(D8/(F8/12)))</f>
        <v>3.7127647635631273</v>
      </c>
      <c r="D8" s="6">
        <f>SUM(D2:D7)</f>
        <v>366203.5</v>
      </c>
      <c r="E8" s="6">
        <f>SUM(E2:E7)</f>
        <v>1207174.1300000001</v>
      </c>
      <c r="F8" s="6">
        <f>SUM(F2:F7)</f>
        <v>1183603.6700000002</v>
      </c>
      <c r="G8" s="6">
        <f>SUM(G2:G7)</f>
        <v>1662464.1500000001</v>
      </c>
      <c r="H8" s="63">
        <f>SUM(H2:H7)</f>
        <v>478860.48</v>
      </c>
      <c r="I8" s="90">
        <f>IF(G8=0,0,(1-(F8/G8)))</f>
        <v>0.28804259027179624</v>
      </c>
      <c r="J8" s="63">
        <f>SUM(J2:J7)</f>
        <v>378227.17</v>
      </c>
      <c r="K8" s="63">
        <f>SUM(K2:K7)</f>
        <v>1131117.06</v>
      </c>
      <c r="L8" s="63">
        <f>SUM(L2:L7)</f>
        <v>1059988.1000000001</v>
      </c>
      <c r="M8" s="63">
        <f>SUM(M2:M7)</f>
        <v>1514055.4400000002</v>
      </c>
      <c r="N8" s="63">
        <f>SUM(N2:N7)</f>
        <v>454067.33999999997</v>
      </c>
      <c r="O8" s="90">
        <f>IF(M8=0,0,(1-(L8/M8)))</f>
        <v>0.29990139594888288</v>
      </c>
      <c r="P8" s="63">
        <f>SUM(P2:P7)</f>
        <v>1662503</v>
      </c>
      <c r="Q8" s="63">
        <f>SUM(Q2:Q7)</f>
        <v>288426.12</v>
      </c>
      <c r="R8" s="63">
        <f>SUM(R2:R7)</f>
        <v>1080722.1600000001</v>
      </c>
      <c r="S8" s="63">
        <f>SUM(S2:S7)</f>
        <v>1023005.1699999999</v>
      </c>
      <c r="T8" s="63">
        <f>SUM(T2:T7)</f>
        <v>1462157.24</v>
      </c>
      <c r="U8" s="63">
        <f>SUM(U2:U7)</f>
        <v>439152.07</v>
      </c>
      <c r="V8" s="90">
        <f>IF(T8=0,0,(1-(S8/T8)))</f>
        <v>0.30034531033064549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83D9A-94C4-4A54-BD0B-2A1ED255DB7F}">
  <sheetPr>
    <tabColor theme="9" tint="-0.249977111117893"/>
  </sheetPr>
  <dimension ref="A1:V5"/>
  <sheetViews>
    <sheetView zoomScale="90" zoomScaleNormal="90" workbookViewId="0">
      <selection activeCell="C6" sqref="C6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18" t="s">
        <v>46</v>
      </c>
      <c r="B2" s="19" t="s">
        <v>96</v>
      </c>
      <c r="C2" s="69" cm="1">
        <f t="array" ref="C2:V4">'P - All'!C8:V10</f>
        <v>1.7987724041034669</v>
      </c>
      <c r="D2" s="32">
        <v>4387.05</v>
      </c>
      <c r="E2" s="32">
        <v>4689.1099999999997</v>
      </c>
      <c r="F2" s="32">
        <v>29266.959999999999</v>
      </c>
      <c r="G2" s="32">
        <v>35872.89</v>
      </c>
      <c r="H2" s="32">
        <v>6605.93</v>
      </c>
      <c r="I2" s="81">
        <v>0.184</v>
      </c>
      <c r="J2" s="32">
        <v>0</v>
      </c>
      <c r="K2" s="32">
        <v>-12.29</v>
      </c>
      <c r="L2" s="32">
        <v>17.850000000000001</v>
      </c>
      <c r="M2" s="32">
        <v>34.93</v>
      </c>
      <c r="N2" s="32">
        <v>17.079999999999998</v>
      </c>
      <c r="O2" s="81">
        <v>0.48899999999999999</v>
      </c>
      <c r="P2" s="32">
        <v>35968</v>
      </c>
      <c r="Q2" s="32">
        <v>0</v>
      </c>
      <c r="R2" s="32">
        <v>0</v>
      </c>
      <c r="S2" s="32">
        <v>0</v>
      </c>
      <c r="T2" s="32">
        <v>0</v>
      </c>
      <c r="U2" s="32">
        <v>0</v>
      </c>
      <c r="V2" s="81">
        <v>0</v>
      </c>
    </row>
    <row r="3" spans="1:22" x14ac:dyDescent="0.25">
      <c r="A3" s="18" t="s">
        <v>48</v>
      </c>
      <c r="B3" s="19" t="s">
        <v>96</v>
      </c>
      <c r="C3" s="69">
        <v>4.8894697239713283</v>
      </c>
      <c r="D3" s="32">
        <v>308.66000000000003</v>
      </c>
      <c r="E3" s="32">
        <v>335.26</v>
      </c>
      <c r="F3" s="32">
        <v>757.53</v>
      </c>
      <c r="G3" s="32">
        <v>406.03</v>
      </c>
      <c r="H3" s="32">
        <v>-351.5</v>
      </c>
      <c r="I3" s="81">
        <v>-0.86599999999999999</v>
      </c>
      <c r="J3" s="32">
        <v>0</v>
      </c>
      <c r="K3" s="32">
        <v>-23.04</v>
      </c>
      <c r="L3" s="32">
        <v>8.85</v>
      </c>
      <c r="M3" s="32">
        <v>17.97</v>
      </c>
      <c r="N3" s="32">
        <v>9.1199999999999992</v>
      </c>
      <c r="O3" s="81">
        <v>0.50800000000000001</v>
      </c>
      <c r="P3" s="32">
        <v>406</v>
      </c>
      <c r="Q3" s="32">
        <v>0</v>
      </c>
      <c r="R3" s="32">
        <v>0</v>
      </c>
      <c r="S3" s="32">
        <v>4.08</v>
      </c>
      <c r="T3" s="32">
        <v>7.03</v>
      </c>
      <c r="U3" s="32">
        <v>2.95</v>
      </c>
      <c r="V3" s="81">
        <v>0.42</v>
      </c>
    </row>
    <row r="4" spans="1:22" ht="15.75" thickBot="1" x14ac:dyDescent="0.3">
      <c r="A4" s="18" t="s">
        <v>49</v>
      </c>
      <c r="B4" s="19" t="s">
        <v>96</v>
      </c>
      <c r="C4" s="69">
        <v>6.6701504624696302</v>
      </c>
      <c r="D4" s="32">
        <v>1304.07</v>
      </c>
      <c r="E4" s="32">
        <v>-257.87</v>
      </c>
      <c r="F4" s="32">
        <v>2346.1</v>
      </c>
      <c r="G4" s="32">
        <v>3149.22</v>
      </c>
      <c r="H4" s="32">
        <v>803.12</v>
      </c>
      <c r="I4" s="81">
        <v>0.255</v>
      </c>
      <c r="J4" s="32">
        <v>21.72</v>
      </c>
      <c r="K4" s="32">
        <v>74.33</v>
      </c>
      <c r="L4" s="32">
        <v>19.21</v>
      </c>
      <c r="M4" s="32">
        <v>29.62</v>
      </c>
      <c r="N4" s="32">
        <v>10.41</v>
      </c>
      <c r="O4" s="81">
        <v>0.35099999999999998</v>
      </c>
      <c r="P4" s="32">
        <v>3094</v>
      </c>
      <c r="Q4" s="32">
        <v>0</v>
      </c>
      <c r="R4" s="32">
        <v>0</v>
      </c>
      <c r="S4" s="32">
        <v>0</v>
      </c>
      <c r="T4" s="32">
        <v>0</v>
      </c>
      <c r="U4" s="32">
        <v>0</v>
      </c>
      <c r="V4" s="81">
        <v>0</v>
      </c>
    </row>
    <row r="5" spans="1:22" s="3" customFormat="1" ht="15.75" thickBot="1" x14ac:dyDescent="0.3">
      <c r="A5" s="2"/>
      <c r="B5" s="87" t="s">
        <v>59</v>
      </c>
      <c r="C5" s="89">
        <f>IF(D5=0,0,(D5/(F5/12)))</f>
        <v>2.2241596461479389</v>
      </c>
      <c r="D5" s="6">
        <f>SUM(D2:D4)</f>
        <v>5999.78</v>
      </c>
      <c r="E5" s="6">
        <f>SUM(E2:E4)</f>
        <v>4766.5</v>
      </c>
      <c r="F5" s="6">
        <f>SUM(F2:F4)</f>
        <v>32370.589999999997</v>
      </c>
      <c r="G5" s="6">
        <f>SUM(G2:G4)</f>
        <v>39428.14</v>
      </c>
      <c r="H5" s="63">
        <f>SUM(H2:H4)</f>
        <v>7057.55</v>
      </c>
      <c r="I5" s="90">
        <f>IF(G5=0,0,(1-(F5/G5)))</f>
        <v>0.17899779193236109</v>
      </c>
      <c r="J5" s="63">
        <f>SUM(J2:J4)</f>
        <v>21.72</v>
      </c>
      <c r="K5" s="63">
        <f>SUM(K2:K4)</f>
        <v>39</v>
      </c>
      <c r="L5" s="63">
        <f>SUM(L2:L4)</f>
        <v>45.910000000000004</v>
      </c>
      <c r="M5" s="63">
        <f>SUM(M2:M4)</f>
        <v>82.52</v>
      </c>
      <c r="N5" s="63">
        <f>SUM(N2:N4)</f>
        <v>36.61</v>
      </c>
      <c r="O5" s="90">
        <f>IF(M5=0,0,(1-(L5/M5)))</f>
        <v>0.44365002423654865</v>
      </c>
      <c r="P5" s="63">
        <f t="shared" ref="P5:U5" si="0">SUM(P2:P4)</f>
        <v>39468</v>
      </c>
      <c r="Q5" s="63">
        <f t="shared" si="0"/>
        <v>0</v>
      </c>
      <c r="R5" s="63">
        <f t="shared" si="0"/>
        <v>0</v>
      </c>
      <c r="S5" s="63">
        <f t="shared" si="0"/>
        <v>4.08</v>
      </c>
      <c r="T5" s="63">
        <f t="shared" si="0"/>
        <v>7.03</v>
      </c>
      <c r="U5" s="63">
        <f t="shared" si="0"/>
        <v>2.95</v>
      </c>
      <c r="V5" s="90">
        <f>IF(T5=0,0,(1-(S5/T5)))</f>
        <v>0.41963015647226176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ED8FA-6DE8-4F65-A87C-2ADB5D31B3D5}">
  <sheetPr>
    <tabColor theme="9" tint="-0.499984740745262"/>
  </sheetPr>
  <dimension ref="A1:V23"/>
  <sheetViews>
    <sheetView zoomScale="90" zoomScaleNormal="90" workbookViewId="0">
      <selection activeCell="B2" sqref="B2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14" t="s">
        <v>46</v>
      </c>
      <c r="B2" s="15" t="s">
        <v>97</v>
      </c>
      <c r="C2" s="68">
        <f>IF(D2=0,0,(D2/(F2/12)))</f>
        <v>4.7371408887551052</v>
      </c>
      <c r="D2" s="79">
        <v>22530.45</v>
      </c>
      <c r="E2" s="79">
        <v>56351.57</v>
      </c>
      <c r="F2" s="79">
        <v>57073.54</v>
      </c>
      <c r="G2" s="79">
        <v>100016.28</v>
      </c>
      <c r="H2" s="79">
        <v>42942.74</v>
      </c>
      <c r="I2" s="80">
        <f>IF(G2=0,0,ROUND((1-F2/G2),3))</f>
        <v>0.42899999999999999</v>
      </c>
      <c r="J2" s="79">
        <v>21932.55</v>
      </c>
      <c r="K2" s="79">
        <v>54384.2</v>
      </c>
      <c r="L2" s="79">
        <v>55089.4</v>
      </c>
      <c r="M2" s="79">
        <v>96956.14</v>
      </c>
      <c r="N2" s="79">
        <v>41866.74</v>
      </c>
      <c r="O2" s="80">
        <f>IF(M2=0,0,ROUND((1-L2/M2),3))</f>
        <v>0.432</v>
      </c>
      <c r="P2" s="79">
        <v>99582</v>
      </c>
      <c r="Q2" s="79">
        <v>20196.3</v>
      </c>
      <c r="R2" s="79">
        <v>73728.58</v>
      </c>
      <c r="S2" s="79">
        <v>60316.52</v>
      </c>
      <c r="T2" s="79">
        <v>104912.12</v>
      </c>
      <c r="U2" s="79">
        <v>44595.6</v>
      </c>
      <c r="V2" s="80">
        <f>IF(T2=0,0,ROUND((1-S2/T2),3))</f>
        <v>0.42499999999999999</v>
      </c>
    </row>
    <row r="3" spans="1:22" x14ac:dyDescent="0.25">
      <c r="A3" s="16" t="s">
        <v>48</v>
      </c>
      <c r="B3" s="17" t="s">
        <v>97</v>
      </c>
      <c r="C3" s="68">
        <f t="shared" ref="C3:C23" si="0">IF(D3=0,0,(D3/(F3/12)))</f>
        <v>45.603538622517981</v>
      </c>
      <c r="D3" s="79">
        <v>18377.39</v>
      </c>
      <c r="E3" s="79">
        <v>1022.41</v>
      </c>
      <c r="F3" s="79">
        <v>4835.78</v>
      </c>
      <c r="G3" s="79">
        <v>7501.02</v>
      </c>
      <c r="H3" s="79">
        <v>2665.24</v>
      </c>
      <c r="I3" s="80">
        <f t="shared" ref="I3:I23" si="1">IF(G3=0,0,ROUND((1-F3/G3),3))</f>
        <v>0.35499999999999998</v>
      </c>
      <c r="J3" s="79">
        <v>23635.58</v>
      </c>
      <c r="K3" s="79">
        <v>6631.74</v>
      </c>
      <c r="L3" s="79">
        <v>4292.87</v>
      </c>
      <c r="M3" s="79">
        <v>6363.41</v>
      </c>
      <c r="N3" s="79">
        <v>2070.54</v>
      </c>
      <c r="O3" s="80">
        <f t="shared" ref="O3:O23" si="2">IF(M3=0,0,ROUND((1-L3/M3),3))</f>
        <v>0.32500000000000001</v>
      </c>
      <c r="P3" s="79">
        <v>7502</v>
      </c>
      <c r="Q3" s="79">
        <v>5827.41</v>
      </c>
      <c r="R3" s="79">
        <v>3081.02</v>
      </c>
      <c r="S3" s="79">
        <v>2301.23</v>
      </c>
      <c r="T3" s="79">
        <v>3785.8</v>
      </c>
      <c r="U3" s="79">
        <v>1484.57</v>
      </c>
      <c r="V3" s="80">
        <f t="shared" ref="V3:V23" si="3">IF(T3=0,0,ROUND((1-S3/T3),3))</f>
        <v>0.39200000000000002</v>
      </c>
    </row>
    <row r="4" spans="1:22" x14ac:dyDescent="0.25">
      <c r="A4" s="16" t="s">
        <v>49</v>
      </c>
      <c r="B4" s="17" t="s">
        <v>97</v>
      </c>
      <c r="C4" s="68">
        <f t="shared" si="0"/>
        <v>15.700787401574804</v>
      </c>
      <c r="D4" s="79">
        <v>39.880000000000003</v>
      </c>
      <c r="E4" s="79">
        <v>-246.99</v>
      </c>
      <c r="F4" s="79">
        <v>30.48</v>
      </c>
      <c r="G4" s="79">
        <v>42.76</v>
      </c>
      <c r="H4" s="79">
        <v>12.28</v>
      </c>
      <c r="I4" s="80">
        <f t="shared" si="1"/>
        <v>0.28699999999999998</v>
      </c>
      <c r="J4" s="79">
        <v>354.01</v>
      </c>
      <c r="K4" s="79">
        <v>487.92</v>
      </c>
      <c r="L4" s="79">
        <v>141.1</v>
      </c>
      <c r="M4" s="79">
        <v>246.77</v>
      </c>
      <c r="N4" s="79">
        <v>105.67</v>
      </c>
      <c r="O4" s="80">
        <f t="shared" si="2"/>
        <v>0.42799999999999999</v>
      </c>
      <c r="P4" s="79">
        <v>42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f t="shared" si="3"/>
        <v>0</v>
      </c>
    </row>
    <row r="5" spans="1:22" x14ac:dyDescent="0.25">
      <c r="A5" s="18" t="s">
        <v>46</v>
      </c>
      <c r="B5" s="19" t="s">
        <v>98</v>
      </c>
      <c r="C5" s="69">
        <f t="shared" si="0"/>
        <v>9.1804707707104889</v>
      </c>
      <c r="D5" s="32">
        <v>1765.81</v>
      </c>
      <c r="E5" s="32">
        <v>2286.59</v>
      </c>
      <c r="F5" s="32">
        <v>2308.13</v>
      </c>
      <c r="G5" s="32">
        <v>4117.87</v>
      </c>
      <c r="H5" s="32">
        <v>1809.74</v>
      </c>
      <c r="I5" s="81">
        <f t="shared" si="1"/>
        <v>0.439</v>
      </c>
      <c r="J5" s="32">
        <v>463.22</v>
      </c>
      <c r="K5" s="32">
        <v>1132.07</v>
      </c>
      <c r="L5" s="32">
        <v>2106.0500000000002</v>
      </c>
      <c r="M5" s="32">
        <v>3324.63</v>
      </c>
      <c r="N5" s="32">
        <v>1218.58</v>
      </c>
      <c r="O5" s="81">
        <f t="shared" si="2"/>
        <v>0.36699999999999999</v>
      </c>
      <c r="P5" s="32">
        <v>4121</v>
      </c>
      <c r="Q5" s="32">
        <v>1210.1099999999999</v>
      </c>
      <c r="R5" s="32">
        <v>1594.19</v>
      </c>
      <c r="S5" s="32">
        <v>1783.49</v>
      </c>
      <c r="T5" s="32">
        <v>3059.33</v>
      </c>
      <c r="U5" s="32">
        <v>1275.8399999999999</v>
      </c>
      <c r="V5" s="81">
        <f t="shared" si="3"/>
        <v>0.41699999999999998</v>
      </c>
    </row>
    <row r="6" spans="1:22" x14ac:dyDescent="0.25">
      <c r="A6" s="18" t="s">
        <v>48</v>
      </c>
      <c r="B6" s="19" t="s">
        <v>98</v>
      </c>
      <c r="C6" s="69">
        <f t="shared" si="0"/>
        <v>195.50080411707944</v>
      </c>
      <c r="D6" s="32">
        <v>506.51</v>
      </c>
      <c r="E6" s="32">
        <v>-706.57</v>
      </c>
      <c r="F6" s="32">
        <v>31.09</v>
      </c>
      <c r="G6" s="32">
        <v>58.1</v>
      </c>
      <c r="H6" s="32">
        <v>27.01</v>
      </c>
      <c r="I6" s="81">
        <f t="shared" si="1"/>
        <v>0.46500000000000002</v>
      </c>
      <c r="J6" s="32">
        <v>1247.31</v>
      </c>
      <c r="K6" s="32">
        <v>-260.14999999999998</v>
      </c>
      <c r="L6" s="32">
        <v>80.95</v>
      </c>
      <c r="M6" s="32">
        <v>137.19</v>
      </c>
      <c r="N6" s="32">
        <v>56.24</v>
      </c>
      <c r="O6" s="81">
        <f t="shared" si="2"/>
        <v>0.41</v>
      </c>
      <c r="P6" s="32">
        <v>58</v>
      </c>
      <c r="Q6" s="32">
        <v>0</v>
      </c>
      <c r="R6" s="32">
        <v>35.5</v>
      </c>
      <c r="S6" s="32">
        <v>35.5</v>
      </c>
      <c r="T6" s="32">
        <v>39.049999999999997</v>
      </c>
      <c r="U6" s="32">
        <v>3.55</v>
      </c>
      <c r="V6" s="81">
        <f t="shared" si="3"/>
        <v>9.0999999999999998E-2</v>
      </c>
    </row>
    <row r="7" spans="1:22" x14ac:dyDescent="0.25">
      <c r="A7" s="18" t="s">
        <v>49</v>
      </c>
      <c r="B7" s="19" t="s">
        <v>98</v>
      </c>
      <c r="C7" s="69">
        <f t="shared" si="0"/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f t="shared" si="1"/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81">
        <f t="shared" si="2"/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f t="shared" si="3"/>
        <v>0</v>
      </c>
    </row>
    <row r="8" spans="1:22" x14ac:dyDescent="0.25">
      <c r="A8" s="20" t="s">
        <v>46</v>
      </c>
      <c r="B8" s="21" t="s">
        <v>99</v>
      </c>
      <c r="C8" s="70">
        <f t="shared" si="0"/>
        <v>0</v>
      </c>
      <c r="D8" s="33">
        <v>0</v>
      </c>
      <c r="E8" s="33">
        <v>0</v>
      </c>
      <c r="F8" s="33">
        <v>0</v>
      </c>
      <c r="G8" s="33">
        <v>0</v>
      </c>
      <c r="H8" s="33">
        <v>0</v>
      </c>
      <c r="I8" s="82">
        <f t="shared" si="1"/>
        <v>0</v>
      </c>
      <c r="J8" s="33">
        <v>0</v>
      </c>
      <c r="K8" s="33">
        <v>0</v>
      </c>
      <c r="L8" s="33">
        <v>0</v>
      </c>
      <c r="M8" s="33">
        <v>0</v>
      </c>
      <c r="N8" s="33">
        <v>0</v>
      </c>
      <c r="O8" s="82">
        <f t="shared" si="2"/>
        <v>0</v>
      </c>
      <c r="P8" s="33">
        <v>0</v>
      </c>
      <c r="Q8" s="33">
        <v>0</v>
      </c>
      <c r="R8" s="33">
        <v>0</v>
      </c>
      <c r="S8" s="33">
        <v>0</v>
      </c>
      <c r="T8" s="33">
        <v>0</v>
      </c>
      <c r="U8" s="33">
        <v>0</v>
      </c>
      <c r="V8" s="82">
        <f t="shared" si="3"/>
        <v>0</v>
      </c>
    </row>
    <row r="9" spans="1:22" x14ac:dyDescent="0.25">
      <c r="A9" s="20" t="s">
        <v>48</v>
      </c>
      <c r="B9" s="21" t="s">
        <v>99</v>
      </c>
      <c r="C9" s="70">
        <f t="shared" si="0"/>
        <v>0</v>
      </c>
      <c r="D9" s="33">
        <v>0</v>
      </c>
      <c r="E9" s="33">
        <v>0</v>
      </c>
      <c r="F9" s="33">
        <v>0</v>
      </c>
      <c r="G9" s="33">
        <v>0</v>
      </c>
      <c r="H9" s="33">
        <v>0</v>
      </c>
      <c r="I9" s="82">
        <f t="shared" si="1"/>
        <v>0</v>
      </c>
      <c r="J9" s="33">
        <v>0</v>
      </c>
      <c r="K9" s="33">
        <v>0</v>
      </c>
      <c r="L9" s="33">
        <v>0</v>
      </c>
      <c r="M9" s="33">
        <v>0</v>
      </c>
      <c r="N9" s="33">
        <v>0</v>
      </c>
      <c r="O9" s="82">
        <f t="shared" si="2"/>
        <v>0</v>
      </c>
      <c r="P9" s="33">
        <v>0</v>
      </c>
      <c r="Q9" s="33">
        <v>0</v>
      </c>
      <c r="R9" s="33">
        <v>0</v>
      </c>
      <c r="S9" s="33">
        <v>0</v>
      </c>
      <c r="T9" s="33">
        <v>0</v>
      </c>
      <c r="U9" s="33">
        <v>0</v>
      </c>
      <c r="V9" s="82">
        <f t="shared" si="3"/>
        <v>0</v>
      </c>
    </row>
    <row r="10" spans="1:22" x14ac:dyDescent="0.25">
      <c r="A10" s="20" t="s">
        <v>49</v>
      </c>
      <c r="B10" s="21" t="s">
        <v>99</v>
      </c>
      <c r="C10" s="70">
        <f t="shared" si="0"/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f t="shared" si="1"/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f t="shared" si="2"/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f t="shared" si="3"/>
        <v>0</v>
      </c>
    </row>
    <row r="11" spans="1:22" x14ac:dyDescent="0.25">
      <c r="A11" s="22" t="s">
        <v>46</v>
      </c>
      <c r="B11" s="23" t="s">
        <v>100</v>
      </c>
      <c r="C11" s="71">
        <f t="shared" si="0"/>
        <v>4.9879515705703277</v>
      </c>
      <c r="D11" s="34">
        <v>102843.51</v>
      </c>
      <c r="E11" s="34">
        <v>249865.64</v>
      </c>
      <c r="F11" s="34">
        <v>247420.63</v>
      </c>
      <c r="G11" s="34">
        <v>353537.25</v>
      </c>
      <c r="H11" s="34">
        <v>106116.62</v>
      </c>
      <c r="I11" s="83">
        <f t="shared" si="1"/>
        <v>0.3</v>
      </c>
      <c r="J11" s="34">
        <v>225529.2</v>
      </c>
      <c r="K11" s="34">
        <v>231005.55</v>
      </c>
      <c r="L11" s="34">
        <v>349158.73</v>
      </c>
      <c r="M11" s="34">
        <v>461062.12</v>
      </c>
      <c r="N11" s="34">
        <v>111903.39</v>
      </c>
      <c r="O11" s="83">
        <f t="shared" si="2"/>
        <v>0.24299999999999999</v>
      </c>
      <c r="P11" s="34">
        <v>359315</v>
      </c>
      <c r="Q11" s="34">
        <v>292183.25</v>
      </c>
      <c r="R11" s="34">
        <v>526305.57999999996</v>
      </c>
      <c r="S11" s="34">
        <v>442224.41</v>
      </c>
      <c r="T11" s="34">
        <v>667311.4</v>
      </c>
      <c r="U11" s="34">
        <v>225086.99</v>
      </c>
      <c r="V11" s="83">
        <f t="shared" si="3"/>
        <v>0.33700000000000002</v>
      </c>
    </row>
    <row r="12" spans="1:22" x14ac:dyDescent="0.25">
      <c r="A12" s="22" t="s">
        <v>48</v>
      </c>
      <c r="B12" s="23" t="s">
        <v>100</v>
      </c>
      <c r="C12" s="71">
        <f t="shared" si="0"/>
        <v>22.142007634819077</v>
      </c>
      <c r="D12" s="34">
        <v>10295.48</v>
      </c>
      <c r="E12" s="34">
        <v>-5239.6400000000003</v>
      </c>
      <c r="F12" s="34">
        <v>5579.7</v>
      </c>
      <c r="G12" s="34">
        <v>7756.22</v>
      </c>
      <c r="H12" s="34">
        <v>2176.52</v>
      </c>
      <c r="I12" s="83">
        <f t="shared" si="1"/>
        <v>0.28100000000000003</v>
      </c>
      <c r="J12" s="34">
        <v>18627.21</v>
      </c>
      <c r="K12" s="34">
        <v>19988.48</v>
      </c>
      <c r="L12" s="34">
        <v>13613.66</v>
      </c>
      <c r="M12" s="34">
        <v>13843.14</v>
      </c>
      <c r="N12" s="34">
        <v>229.48</v>
      </c>
      <c r="O12" s="83">
        <f t="shared" si="2"/>
        <v>1.7000000000000001E-2</v>
      </c>
      <c r="P12" s="34">
        <v>8103</v>
      </c>
      <c r="Q12" s="34">
        <v>11318.16</v>
      </c>
      <c r="R12" s="34">
        <v>-52155.4</v>
      </c>
      <c r="S12" s="34">
        <v>10281.18</v>
      </c>
      <c r="T12" s="34">
        <v>13213.52</v>
      </c>
      <c r="U12" s="34">
        <v>2932.34</v>
      </c>
      <c r="V12" s="83">
        <f t="shared" si="3"/>
        <v>0.222</v>
      </c>
    </row>
    <row r="13" spans="1:22" x14ac:dyDescent="0.25">
      <c r="A13" s="22" t="s">
        <v>49</v>
      </c>
      <c r="B13" s="23" t="s">
        <v>100</v>
      </c>
      <c r="C13" s="71">
        <f t="shared" si="0"/>
        <v>0</v>
      </c>
      <c r="D13" s="34">
        <v>0</v>
      </c>
      <c r="E13" s="34">
        <v>814.91</v>
      </c>
      <c r="F13" s="34">
        <v>0</v>
      </c>
      <c r="G13" s="34">
        <v>0</v>
      </c>
      <c r="H13" s="34">
        <v>0</v>
      </c>
      <c r="I13" s="83">
        <f t="shared" si="1"/>
        <v>0</v>
      </c>
      <c r="J13" s="34">
        <v>9424.5</v>
      </c>
      <c r="K13" s="34">
        <v>9427.23</v>
      </c>
      <c r="L13" s="34">
        <v>0</v>
      </c>
      <c r="M13" s="34">
        <v>0</v>
      </c>
      <c r="N13" s="34">
        <v>0</v>
      </c>
      <c r="O13" s="83">
        <f t="shared" si="2"/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f t="shared" si="3"/>
        <v>0</v>
      </c>
    </row>
    <row r="14" spans="1:22" x14ac:dyDescent="0.25">
      <c r="A14" s="24" t="s">
        <v>46</v>
      </c>
      <c r="B14" s="25" t="s">
        <v>101</v>
      </c>
      <c r="C14" s="72">
        <f t="shared" si="0"/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84">
        <f t="shared" si="1"/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84">
        <f t="shared" si="2"/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84">
        <f t="shared" si="3"/>
        <v>0</v>
      </c>
    </row>
    <row r="15" spans="1:22" x14ac:dyDescent="0.25">
      <c r="A15" s="24" t="s">
        <v>48</v>
      </c>
      <c r="B15" s="25" t="s">
        <v>101</v>
      </c>
      <c r="C15" s="72">
        <f t="shared" si="0"/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84">
        <f t="shared" si="1"/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84">
        <f t="shared" si="2"/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84">
        <f t="shared" si="3"/>
        <v>0</v>
      </c>
    </row>
    <row r="16" spans="1:22" x14ac:dyDescent="0.25">
      <c r="A16" s="24" t="s">
        <v>49</v>
      </c>
      <c r="B16" s="25" t="s">
        <v>101</v>
      </c>
      <c r="C16" s="72">
        <f t="shared" si="0"/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f t="shared" si="1"/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f t="shared" si="2"/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f t="shared" si="3"/>
        <v>0</v>
      </c>
    </row>
    <row r="17" spans="1:22" ht="24" x14ac:dyDescent="0.25">
      <c r="A17" s="26" t="s">
        <v>46</v>
      </c>
      <c r="B17" s="27" t="s">
        <v>102</v>
      </c>
      <c r="C17" s="73">
        <f t="shared" si="0"/>
        <v>0.74525096313800221</v>
      </c>
      <c r="D17" s="36">
        <v>1770.33</v>
      </c>
      <c r="E17" s="36">
        <v>7268.77</v>
      </c>
      <c r="F17" s="36">
        <v>28505.78</v>
      </c>
      <c r="G17" s="36">
        <v>12890.5</v>
      </c>
      <c r="H17" s="36">
        <v>-15615.28</v>
      </c>
      <c r="I17" s="85">
        <f t="shared" ref="I17:I19" si="4">IF(G17=0,0,ROUND((1-F17/G17),3))</f>
        <v>-1.2110000000000001</v>
      </c>
      <c r="J17" s="36">
        <v>22188.09</v>
      </c>
      <c r="K17" s="36">
        <v>61210.17</v>
      </c>
      <c r="L17" s="36">
        <v>30313.93</v>
      </c>
      <c r="M17" s="36">
        <v>49948.33</v>
      </c>
      <c r="N17" s="36">
        <v>19634.400000000001</v>
      </c>
      <c r="O17" s="85">
        <f t="shared" ref="O17:O19" si="5">IF(M17=0,0,ROUND((1-L17/M17),3))</f>
        <v>0.39300000000000002</v>
      </c>
      <c r="P17" s="36">
        <v>12891</v>
      </c>
      <c r="Q17" s="36">
        <v>0</v>
      </c>
      <c r="R17" s="36">
        <v>0</v>
      </c>
      <c r="S17" s="36">
        <v>41272.04</v>
      </c>
      <c r="T17" s="36">
        <v>55087.99</v>
      </c>
      <c r="U17" s="36">
        <v>13815.95</v>
      </c>
      <c r="V17" s="85">
        <f t="shared" ref="V17:V19" si="6">IF(T17=0,0,ROUND((1-S17/T17),3))</f>
        <v>0.251</v>
      </c>
    </row>
    <row r="18" spans="1:22" ht="24" x14ac:dyDescent="0.25">
      <c r="A18" s="26" t="s">
        <v>48</v>
      </c>
      <c r="B18" s="27" t="s">
        <v>102</v>
      </c>
      <c r="C18" s="73">
        <f t="shared" si="0"/>
        <v>0</v>
      </c>
      <c r="D18" s="36">
        <v>0</v>
      </c>
      <c r="E18" s="36">
        <v>4332.3100000000004</v>
      </c>
      <c r="F18" s="36">
        <v>4332.3100000000004</v>
      </c>
      <c r="G18" s="36">
        <v>7449.69</v>
      </c>
      <c r="H18" s="36">
        <v>3117.38</v>
      </c>
      <c r="I18" s="85">
        <f t="shared" si="4"/>
        <v>0.41799999999999998</v>
      </c>
      <c r="J18" s="36">
        <v>0</v>
      </c>
      <c r="K18" s="36">
        <v>4031.91</v>
      </c>
      <c r="L18" s="36">
        <v>3756.91</v>
      </c>
      <c r="M18" s="36">
        <v>4595.22</v>
      </c>
      <c r="N18" s="36">
        <v>838.31</v>
      </c>
      <c r="O18" s="85">
        <f t="shared" si="5"/>
        <v>0.182</v>
      </c>
      <c r="P18" s="36">
        <v>7450</v>
      </c>
      <c r="Q18" s="36">
        <v>0</v>
      </c>
      <c r="R18" s="36">
        <v>0</v>
      </c>
      <c r="S18" s="36">
        <v>6208.68</v>
      </c>
      <c r="T18" s="36">
        <v>8261.2000000000007</v>
      </c>
      <c r="U18" s="36">
        <v>2052.52</v>
      </c>
      <c r="V18" s="85">
        <f t="shared" si="6"/>
        <v>0.248</v>
      </c>
    </row>
    <row r="19" spans="1:22" ht="24" x14ac:dyDescent="0.25">
      <c r="A19" s="26" t="s">
        <v>49</v>
      </c>
      <c r="B19" s="27" t="s">
        <v>102</v>
      </c>
      <c r="C19" s="73">
        <f t="shared" si="0"/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f t="shared" si="4"/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85">
        <f t="shared" si="5"/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f t="shared" si="6"/>
        <v>0</v>
      </c>
    </row>
    <row r="20" spans="1:22" ht="24" x14ac:dyDescent="0.25">
      <c r="A20" s="28" t="s">
        <v>46</v>
      </c>
      <c r="B20" s="29" t="s">
        <v>143</v>
      </c>
      <c r="C20" s="74">
        <f t="shared" si="0"/>
        <v>1.1188318813793092</v>
      </c>
      <c r="D20" s="37">
        <v>9690.4500000000007</v>
      </c>
      <c r="E20" s="37">
        <v>-59.14</v>
      </c>
      <c r="F20" s="37">
        <v>103934.65</v>
      </c>
      <c r="G20" s="37">
        <v>60745.26</v>
      </c>
      <c r="H20" s="37">
        <v>-43189.39</v>
      </c>
      <c r="I20" s="86">
        <f t="shared" si="1"/>
        <v>-0.71099999999999997</v>
      </c>
      <c r="J20" s="37">
        <v>19.55</v>
      </c>
      <c r="K20" s="37">
        <v>0</v>
      </c>
      <c r="L20" s="37">
        <v>14638.89</v>
      </c>
      <c r="M20" s="37">
        <v>28247.97</v>
      </c>
      <c r="N20" s="37">
        <v>13609.08</v>
      </c>
      <c r="O20" s="86">
        <f t="shared" si="2"/>
        <v>0.48199999999999998</v>
      </c>
      <c r="P20" s="37">
        <v>60751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  <c r="V20" s="86">
        <f t="shared" si="3"/>
        <v>0</v>
      </c>
    </row>
    <row r="21" spans="1:22" ht="24" x14ac:dyDescent="0.25">
      <c r="A21" s="28" t="s">
        <v>48</v>
      </c>
      <c r="B21" s="29" t="s">
        <v>143</v>
      </c>
      <c r="C21" s="74">
        <f t="shared" si="0"/>
        <v>2.7294250511028038</v>
      </c>
      <c r="D21" s="37">
        <v>1007.01</v>
      </c>
      <c r="E21" s="37">
        <v>59.14</v>
      </c>
      <c r="F21" s="37">
        <v>4427.3500000000004</v>
      </c>
      <c r="G21" s="37">
        <v>2152.98</v>
      </c>
      <c r="H21" s="37">
        <v>-2274.37</v>
      </c>
      <c r="I21" s="86">
        <f t="shared" si="1"/>
        <v>-1.056</v>
      </c>
      <c r="J21" s="37">
        <v>0</v>
      </c>
      <c r="K21" s="37">
        <v>0</v>
      </c>
      <c r="L21" s="37">
        <v>130.94999999999999</v>
      </c>
      <c r="M21" s="37">
        <v>218.91</v>
      </c>
      <c r="N21" s="37">
        <v>87.96</v>
      </c>
      <c r="O21" s="86">
        <f t="shared" si="2"/>
        <v>0.40200000000000002</v>
      </c>
      <c r="P21" s="37">
        <v>2153</v>
      </c>
      <c r="Q21" s="37">
        <v>0</v>
      </c>
      <c r="R21" s="37">
        <v>0</v>
      </c>
      <c r="S21" s="37">
        <v>0</v>
      </c>
      <c r="T21" s="37">
        <v>0</v>
      </c>
      <c r="U21" s="37">
        <v>0</v>
      </c>
      <c r="V21" s="86">
        <f t="shared" si="3"/>
        <v>0</v>
      </c>
    </row>
    <row r="22" spans="1:22" ht="24.75" thickBot="1" x14ac:dyDescent="0.3">
      <c r="A22" s="28" t="s">
        <v>49</v>
      </c>
      <c r="B22" s="29" t="s">
        <v>143</v>
      </c>
      <c r="C22" s="74">
        <f t="shared" si="0"/>
        <v>0</v>
      </c>
      <c r="D22" s="37">
        <v>0</v>
      </c>
      <c r="E22" s="37">
        <v>0</v>
      </c>
      <c r="F22" s="37">
        <v>9738</v>
      </c>
      <c r="G22" s="37">
        <v>4500</v>
      </c>
      <c r="H22" s="37">
        <v>-5238</v>
      </c>
      <c r="I22" s="86">
        <f t="shared" si="1"/>
        <v>-1.1639999999999999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86">
        <f t="shared" si="2"/>
        <v>0</v>
      </c>
      <c r="P22" s="37">
        <v>4500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f t="shared" si="3"/>
        <v>0</v>
      </c>
    </row>
    <row r="23" spans="1:22" s="3" customFormat="1" ht="15.75" thickBot="1" x14ac:dyDescent="0.3">
      <c r="A23" s="2"/>
      <c r="B23" s="87" t="s">
        <v>59</v>
      </c>
      <c r="C23" s="89">
        <f t="shared" si="0"/>
        <v>4.3268824843431721</v>
      </c>
      <c r="D23" s="6">
        <f>SUM(D2:D22)</f>
        <v>168826.82</v>
      </c>
      <c r="E23" s="6">
        <f>SUM(E2:E22)</f>
        <v>315749</v>
      </c>
      <c r="F23" s="6">
        <f>SUM(F2:F22)</f>
        <v>468217.43999999994</v>
      </c>
      <c r="G23" s="6">
        <f>SUM(G2:G22)</f>
        <v>560767.92999999993</v>
      </c>
      <c r="H23" s="63">
        <f>SUM(H2:H22)</f>
        <v>92550.49</v>
      </c>
      <c r="I23" s="90">
        <f t="shared" si="1"/>
        <v>0.16500000000000001</v>
      </c>
      <c r="J23" s="63">
        <f>SUM(J2:J22)</f>
        <v>323421.22000000003</v>
      </c>
      <c r="K23" s="63">
        <f>SUM(K2:K22)</f>
        <v>388039.11999999988</v>
      </c>
      <c r="L23" s="63">
        <f>SUM(L2:L22)</f>
        <v>473323.43999999994</v>
      </c>
      <c r="M23" s="63">
        <f>SUM(M2:M22)</f>
        <v>664943.82999999996</v>
      </c>
      <c r="N23" s="63">
        <f>SUM(N2:N22)</f>
        <v>191620.38999999998</v>
      </c>
      <c r="O23" s="90">
        <f t="shared" si="2"/>
        <v>0.28799999999999998</v>
      </c>
      <c r="P23" s="63">
        <f t="shared" ref="P23:U23" si="7">SUM(P2:P22)</f>
        <v>566468</v>
      </c>
      <c r="Q23" s="63">
        <f t="shared" si="7"/>
        <v>330735.23</v>
      </c>
      <c r="R23" s="63">
        <f t="shared" si="7"/>
        <v>552589.47</v>
      </c>
      <c r="S23" s="63">
        <f t="shared" si="7"/>
        <v>564423.05000000005</v>
      </c>
      <c r="T23" s="63">
        <f t="shared" si="7"/>
        <v>855670.41</v>
      </c>
      <c r="U23" s="63">
        <f t="shared" si="7"/>
        <v>291247.36000000004</v>
      </c>
      <c r="V23" s="90">
        <f t="shared" si="3"/>
        <v>0.34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D9391-7060-448C-9F88-7E9C71079F88}">
  <sheetPr>
    <tabColor theme="9" tint="-0.499984740745262"/>
  </sheetPr>
  <dimension ref="A1:V20"/>
  <sheetViews>
    <sheetView zoomScale="90" zoomScaleNormal="90" workbookViewId="0">
      <selection activeCell="C21" sqref="C21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14" t="s">
        <v>46</v>
      </c>
      <c r="B2" s="15" t="s">
        <v>97</v>
      </c>
      <c r="C2" s="68" cm="1">
        <f t="array" ref="C2:V16">'OL - All'!C2:V16</f>
        <v>4.7371408887551052</v>
      </c>
      <c r="D2" s="79">
        <v>22530.45</v>
      </c>
      <c r="E2" s="79">
        <v>56351.57</v>
      </c>
      <c r="F2" s="79">
        <v>57073.54</v>
      </c>
      <c r="G2" s="79">
        <v>100016.28</v>
      </c>
      <c r="H2" s="79">
        <v>42942.74</v>
      </c>
      <c r="I2" s="80">
        <v>0.42899999999999999</v>
      </c>
      <c r="J2" s="79">
        <v>21932.55</v>
      </c>
      <c r="K2" s="79">
        <v>54384.2</v>
      </c>
      <c r="L2" s="79">
        <v>55089.4</v>
      </c>
      <c r="M2" s="79">
        <v>96956.14</v>
      </c>
      <c r="N2" s="79">
        <v>41866.74</v>
      </c>
      <c r="O2" s="80">
        <v>0.432</v>
      </c>
      <c r="P2" s="79">
        <v>99582</v>
      </c>
      <c r="Q2" s="79">
        <v>20196.3</v>
      </c>
      <c r="R2" s="79">
        <v>73728.58</v>
      </c>
      <c r="S2" s="79">
        <v>60316.52</v>
      </c>
      <c r="T2" s="79">
        <v>104912.12</v>
      </c>
      <c r="U2" s="79">
        <v>44595.6</v>
      </c>
      <c r="V2" s="80">
        <v>0.42499999999999999</v>
      </c>
    </row>
    <row r="3" spans="1:22" x14ac:dyDescent="0.25">
      <c r="A3" s="16" t="s">
        <v>48</v>
      </c>
      <c r="B3" s="17" t="s">
        <v>97</v>
      </c>
      <c r="C3" s="68">
        <v>45.603538622517981</v>
      </c>
      <c r="D3" s="79">
        <v>18377.39</v>
      </c>
      <c r="E3" s="79">
        <v>1022.41</v>
      </c>
      <c r="F3" s="79">
        <v>4835.78</v>
      </c>
      <c r="G3" s="79">
        <v>7501.02</v>
      </c>
      <c r="H3" s="79">
        <v>2665.24</v>
      </c>
      <c r="I3" s="80">
        <v>0.35499999999999998</v>
      </c>
      <c r="J3" s="79">
        <v>23635.58</v>
      </c>
      <c r="K3" s="79">
        <v>6631.74</v>
      </c>
      <c r="L3" s="79">
        <v>4292.87</v>
      </c>
      <c r="M3" s="79">
        <v>6363.41</v>
      </c>
      <c r="N3" s="79">
        <v>2070.54</v>
      </c>
      <c r="O3" s="80">
        <v>0.32500000000000001</v>
      </c>
      <c r="P3" s="79">
        <v>7502</v>
      </c>
      <c r="Q3" s="79">
        <v>5827.41</v>
      </c>
      <c r="R3" s="79">
        <v>3081.02</v>
      </c>
      <c r="S3" s="79">
        <v>2301.23</v>
      </c>
      <c r="T3" s="79">
        <v>3785.8</v>
      </c>
      <c r="U3" s="79">
        <v>1484.57</v>
      </c>
      <c r="V3" s="80">
        <v>0.39200000000000002</v>
      </c>
    </row>
    <row r="4" spans="1:22" x14ac:dyDescent="0.25">
      <c r="A4" s="16" t="s">
        <v>49</v>
      </c>
      <c r="B4" s="17" t="s">
        <v>97</v>
      </c>
      <c r="C4" s="68">
        <v>15.700787401574804</v>
      </c>
      <c r="D4" s="79">
        <v>39.880000000000003</v>
      </c>
      <c r="E4" s="79">
        <v>-246.99</v>
      </c>
      <c r="F4" s="79">
        <v>30.48</v>
      </c>
      <c r="G4" s="79">
        <v>42.76</v>
      </c>
      <c r="H4" s="79">
        <v>12.28</v>
      </c>
      <c r="I4" s="80">
        <v>0.28699999999999998</v>
      </c>
      <c r="J4" s="79">
        <v>354.01</v>
      </c>
      <c r="K4" s="79">
        <v>487.92</v>
      </c>
      <c r="L4" s="79">
        <v>141.1</v>
      </c>
      <c r="M4" s="79">
        <v>246.77</v>
      </c>
      <c r="N4" s="79">
        <v>105.67</v>
      </c>
      <c r="O4" s="80">
        <v>0.42799999999999999</v>
      </c>
      <c r="P4" s="79">
        <v>42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v>0</v>
      </c>
    </row>
    <row r="5" spans="1:22" x14ac:dyDescent="0.25">
      <c r="A5" s="18" t="s">
        <v>46</v>
      </c>
      <c r="B5" s="19" t="s">
        <v>98</v>
      </c>
      <c r="C5" s="69">
        <v>9.1804707707104889</v>
      </c>
      <c r="D5" s="32">
        <v>1765.81</v>
      </c>
      <c r="E5" s="32">
        <v>2286.59</v>
      </c>
      <c r="F5" s="32">
        <v>2308.13</v>
      </c>
      <c r="G5" s="32">
        <v>4117.87</v>
      </c>
      <c r="H5" s="32">
        <v>1809.74</v>
      </c>
      <c r="I5" s="81">
        <v>0.439</v>
      </c>
      <c r="J5" s="32">
        <v>463.22</v>
      </c>
      <c r="K5" s="32">
        <v>1132.07</v>
      </c>
      <c r="L5" s="32">
        <v>2106.0500000000002</v>
      </c>
      <c r="M5" s="32">
        <v>3324.63</v>
      </c>
      <c r="N5" s="32">
        <v>1218.58</v>
      </c>
      <c r="O5" s="81">
        <v>0.36699999999999999</v>
      </c>
      <c r="P5" s="32">
        <v>4121</v>
      </c>
      <c r="Q5" s="32">
        <v>1210.1099999999999</v>
      </c>
      <c r="R5" s="32">
        <v>1594.19</v>
      </c>
      <c r="S5" s="32">
        <v>1783.49</v>
      </c>
      <c r="T5" s="32">
        <v>3059.33</v>
      </c>
      <c r="U5" s="32">
        <v>1275.8399999999999</v>
      </c>
      <c r="V5" s="81">
        <v>0.41699999999999998</v>
      </c>
    </row>
    <row r="6" spans="1:22" x14ac:dyDescent="0.25">
      <c r="A6" s="18" t="s">
        <v>48</v>
      </c>
      <c r="B6" s="19" t="s">
        <v>98</v>
      </c>
      <c r="C6" s="69">
        <v>195.50080411707944</v>
      </c>
      <c r="D6" s="32">
        <v>506.51</v>
      </c>
      <c r="E6" s="32">
        <v>-706.57</v>
      </c>
      <c r="F6" s="32">
        <v>31.09</v>
      </c>
      <c r="G6" s="32">
        <v>58.1</v>
      </c>
      <c r="H6" s="32">
        <v>27.01</v>
      </c>
      <c r="I6" s="81">
        <v>0.46500000000000002</v>
      </c>
      <c r="J6" s="32">
        <v>1247.31</v>
      </c>
      <c r="K6" s="32">
        <v>-260.14999999999998</v>
      </c>
      <c r="L6" s="32">
        <v>80.95</v>
      </c>
      <c r="M6" s="32">
        <v>137.19</v>
      </c>
      <c r="N6" s="32">
        <v>56.24</v>
      </c>
      <c r="O6" s="81">
        <v>0.41</v>
      </c>
      <c r="P6" s="32">
        <v>58</v>
      </c>
      <c r="Q6" s="32">
        <v>0</v>
      </c>
      <c r="R6" s="32">
        <v>35.5</v>
      </c>
      <c r="S6" s="32">
        <v>35.5</v>
      </c>
      <c r="T6" s="32">
        <v>39.049999999999997</v>
      </c>
      <c r="U6" s="32">
        <v>3.55</v>
      </c>
      <c r="V6" s="81">
        <v>9.0999999999999998E-2</v>
      </c>
    </row>
    <row r="7" spans="1:22" x14ac:dyDescent="0.25">
      <c r="A7" s="18" t="s">
        <v>49</v>
      </c>
      <c r="B7" s="19" t="s">
        <v>98</v>
      </c>
      <c r="C7" s="69"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81"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v>0</v>
      </c>
    </row>
    <row r="8" spans="1:22" x14ac:dyDescent="0.25">
      <c r="A8" s="20" t="s">
        <v>46</v>
      </c>
      <c r="B8" s="21" t="s">
        <v>99</v>
      </c>
      <c r="C8" s="70">
        <v>0</v>
      </c>
      <c r="D8" s="33">
        <v>0</v>
      </c>
      <c r="E8" s="33">
        <v>0</v>
      </c>
      <c r="F8" s="33">
        <v>0</v>
      </c>
      <c r="G8" s="33">
        <v>0</v>
      </c>
      <c r="H8" s="33">
        <v>0</v>
      </c>
      <c r="I8" s="82">
        <v>0</v>
      </c>
      <c r="J8" s="33">
        <v>0</v>
      </c>
      <c r="K8" s="33">
        <v>0</v>
      </c>
      <c r="L8" s="33">
        <v>0</v>
      </c>
      <c r="M8" s="33">
        <v>0</v>
      </c>
      <c r="N8" s="33">
        <v>0</v>
      </c>
      <c r="O8" s="82">
        <v>0</v>
      </c>
      <c r="P8" s="33">
        <v>0</v>
      </c>
      <c r="Q8" s="33">
        <v>0</v>
      </c>
      <c r="R8" s="33">
        <v>0</v>
      </c>
      <c r="S8" s="33">
        <v>0</v>
      </c>
      <c r="T8" s="33">
        <v>0</v>
      </c>
      <c r="U8" s="33">
        <v>0</v>
      </c>
      <c r="V8" s="82">
        <v>0</v>
      </c>
    </row>
    <row r="9" spans="1:22" x14ac:dyDescent="0.25">
      <c r="A9" s="20" t="s">
        <v>48</v>
      </c>
      <c r="B9" s="21" t="s">
        <v>99</v>
      </c>
      <c r="C9" s="70">
        <v>0</v>
      </c>
      <c r="D9" s="33">
        <v>0</v>
      </c>
      <c r="E9" s="33">
        <v>0</v>
      </c>
      <c r="F9" s="33">
        <v>0</v>
      </c>
      <c r="G9" s="33">
        <v>0</v>
      </c>
      <c r="H9" s="33">
        <v>0</v>
      </c>
      <c r="I9" s="82">
        <v>0</v>
      </c>
      <c r="J9" s="33">
        <v>0</v>
      </c>
      <c r="K9" s="33">
        <v>0</v>
      </c>
      <c r="L9" s="33">
        <v>0</v>
      </c>
      <c r="M9" s="33">
        <v>0</v>
      </c>
      <c r="N9" s="33">
        <v>0</v>
      </c>
      <c r="O9" s="82">
        <v>0</v>
      </c>
      <c r="P9" s="33">
        <v>0</v>
      </c>
      <c r="Q9" s="33">
        <v>0</v>
      </c>
      <c r="R9" s="33">
        <v>0</v>
      </c>
      <c r="S9" s="33">
        <v>0</v>
      </c>
      <c r="T9" s="33">
        <v>0</v>
      </c>
      <c r="U9" s="33">
        <v>0</v>
      </c>
      <c r="V9" s="82">
        <v>0</v>
      </c>
    </row>
    <row r="10" spans="1:22" x14ac:dyDescent="0.25">
      <c r="A10" s="20" t="s">
        <v>49</v>
      </c>
      <c r="B10" s="21" t="s">
        <v>99</v>
      </c>
      <c r="C10" s="70"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v>0</v>
      </c>
    </row>
    <row r="11" spans="1:22" x14ac:dyDescent="0.25">
      <c r="A11" s="22" t="s">
        <v>46</v>
      </c>
      <c r="B11" s="23" t="s">
        <v>100</v>
      </c>
      <c r="C11" s="71">
        <v>4.9879515705703277</v>
      </c>
      <c r="D11" s="34">
        <v>102843.51</v>
      </c>
      <c r="E11" s="34">
        <v>249865.64</v>
      </c>
      <c r="F11" s="34">
        <v>247420.63</v>
      </c>
      <c r="G11" s="34">
        <v>353537.25</v>
      </c>
      <c r="H11" s="34">
        <v>106116.62</v>
      </c>
      <c r="I11" s="83">
        <v>0.3</v>
      </c>
      <c r="J11" s="34">
        <v>225529.2</v>
      </c>
      <c r="K11" s="34">
        <v>231005.55</v>
      </c>
      <c r="L11" s="34">
        <v>349158.73</v>
      </c>
      <c r="M11" s="34">
        <v>461062.12</v>
      </c>
      <c r="N11" s="34">
        <v>111903.39</v>
      </c>
      <c r="O11" s="83">
        <v>0.24299999999999999</v>
      </c>
      <c r="P11" s="34">
        <v>359315</v>
      </c>
      <c r="Q11" s="34">
        <v>292183.25</v>
      </c>
      <c r="R11" s="34">
        <v>526305.57999999996</v>
      </c>
      <c r="S11" s="34">
        <v>442224.41</v>
      </c>
      <c r="T11" s="34">
        <v>667311.4</v>
      </c>
      <c r="U11" s="34">
        <v>225086.99</v>
      </c>
      <c r="V11" s="83">
        <v>0.33700000000000002</v>
      </c>
    </row>
    <row r="12" spans="1:22" x14ac:dyDescent="0.25">
      <c r="A12" s="22" t="s">
        <v>48</v>
      </c>
      <c r="B12" s="23" t="s">
        <v>100</v>
      </c>
      <c r="C12" s="71">
        <v>22.142007634819077</v>
      </c>
      <c r="D12" s="34">
        <v>10295.48</v>
      </c>
      <c r="E12" s="34">
        <v>-5239.6400000000003</v>
      </c>
      <c r="F12" s="34">
        <v>5579.7</v>
      </c>
      <c r="G12" s="34">
        <v>7756.22</v>
      </c>
      <c r="H12" s="34">
        <v>2176.52</v>
      </c>
      <c r="I12" s="83">
        <v>0.28100000000000003</v>
      </c>
      <c r="J12" s="34">
        <v>18627.21</v>
      </c>
      <c r="K12" s="34">
        <v>19988.48</v>
      </c>
      <c r="L12" s="34">
        <v>13613.66</v>
      </c>
      <c r="M12" s="34">
        <v>13843.14</v>
      </c>
      <c r="N12" s="34">
        <v>229.48</v>
      </c>
      <c r="O12" s="83">
        <v>1.7000000000000001E-2</v>
      </c>
      <c r="P12" s="34">
        <v>8103</v>
      </c>
      <c r="Q12" s="34">
        <v>11318.16</v>
      </c>
      <c r="R12" s="34">
        <v>-52155.4</v>
      </c>
      <c r="S12" s="34">
        <v>10281.18</v>
      </c>
      <c r="T12" s="34">
        <v>13213.52</v>
      </c>
      <c r="U12" s="34">
        <v>2932.34</v>
      </c>
      <c r="V12" s="83">
        <v>0.222</v>
      </c>
    </row>
    <row r="13" spans="1:22" x14ac:dyDescent="0.25">
      <c r="A13" s="22" t="s">
        <v>49</v>
      </c>
      <c r="B13" s="23" t="s">
        <v>100</v>
      </c>
      <c r="C13" s="71">
        <v>0</v>
      </c>
      <c r="D13" s="34">
        <v>0</v>
      </c>
      <c r="E13" s="34">
        <v>814.91</v>
      </c>
      <c r="F13" s="34">
        <v>0</v>
      </c>
      <c r="G13" s="34">
        <v>0</v>
      </c>
      <c r="H13" s="34">
        <v>0</v>
      </c>
      <c r="I13" s="83">
        <v>0</v>
      </c>
      <c r="J13" s="34">
        <v>9424.5</v>
      </c>
      <c r="K13" s="34">
        <v>9427.23</v>
      </c>
      <c r="L13" s="34">
        <v>0</v>
      </c>
      <c r="M13" s="34">
        <v>0</v>
      </c>
      <c r="N13" s="34">
        <v>0</v>
      </c>
      <c r="O13" s="83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v>0</v>
      </c>
    </row>
    <row r="14" spans="1:22" x14ac:dyDescent="0.25">
      <c r="A14" s="24" t="s">
        <v>46</v>
      </c>
      <c r="B14" s="25" t="s">
        <v>101</v>
      </c>
      <c r="C14" s="72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84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84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84">
        <v>0</v>
      </c>
    </row>
    <row r="15" spans="1:22" x14ac:dyDescent="0.25">
      <c r="A15" s="24" t="s">
        <v>48</v>
      </c>
      <c r="B15" s="25" t="s">
        <v>101</v>
      </c>
      <c r="C15" s="72"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84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84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84">
        <v>0</v>
      </c>
    </row>
    <row r="16" spans="1:22" x14ac:dyDescent="0.25">
      <c r="A16" s="24" t="s">
        <v>49</v>
      </c>
      <c r="B16" s="25" t="s">
        <v>101</v>
      </c>
      <c r="C16" s="72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v>0</v>
      </c>
    </row>
    <row r="17" spans="1:22" ht="24" x14ac:dyDescent="0.25">
      <c r="A17" s="28" t="s">
        <v>46</v>
      </c>
      <c r="B17" s="29" t="s">
        <v>143</v>
      </c>
      <c r="C17" s="74" cm="1">
        <f t="array" ref="C17:V19">'OL - All'!C20:V22</f>
        <v>1.1188318813793092</v>
      </c>
      <c r="D17" s="37">
        <v>9690.4500000000007</v>
      </c>
      <c r="E17" s="37">
        <v>-59.14</v>
      </c>
      <c r="F17" s="37">
        <v>103934.65</v>
      </c>
      <c r="G17" s="37">
        <v>60745.26</v>
      </c>
      <c r="H17" s="37">
        <v>-43189.39</v>
      </c>
      <c r="I17" s="86">
        <v>-0.71099999999999997</v>
      </c>
      <c r="J17" s="37">
        <v>19.55</v>
      </c>
      <c r="K17" s="37">
        <v>0</v>
      </c>
      <c r="L17" s="37">
        <v>14638.89</v>
      </c>
      <c r="M17" s="37">
        <v>28247.97</v>
      </c>
      <c r="N17" s="37">
        <v>13609.08</v>
      </c>
      <c r="O17" s="86">
        <v>0.48199999999999998</v>
      </c>
      <c r="P17" s="37">
        <v>60751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86">
        <v>0</v>
      </c>
    </row>
    <row r="18" spans="1:22" ht="24" x14ac:dyDescent="0.25">
      <c r="A18" s="28" t="s">
        <v>48</v>
      </c>
      <c r="B18" s="29" t="s">
        <v>143</v>
      </c>
      <c r="C18" s="74">
        <v>2.7294250511028038</v>
      </c>
      <c r="D18" s="37">
        <v>1007.01</v>
      </c>
      <c r="E18" s="37">
        <v>59.14</v>
      </c>
      <c r="F18" s="37">
        <v>4427.3500000000004</v>
      </c>
      <c r="G18" s="37">
        <v>2152.98</v>
      </c>
      <c r="H18" s="37">
        <v>-2274.37</v>
      </c>
      <c r="I18" s="86">
        <v>-1.056</v>
      </c>
      <c r="J18" s="37">
        <v>0</v>
      </c>
      <c r="K18" s="37">
        <v>0</v>
      </c>
      <c r="L18" s="37">
        <v>130.94999999999999</v>
      </c>
      <c r="M18" s="37">
        <v>218.91</v>
      </c>
      <c r="N18" s="37">
        <v>87.96</v>
      </c>
      <c r="O18" s="86">
        <v>0.40200000000000002</v>
      </c>
      <c r="P18" s="37">
        <v>2153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  <c r="V18" s="86">
        <v>0</v>
      </c>
    </row>
    <row r="19" spans="1:22" ht="24.75" thickBot="1" x14ac:dyDescent="0.3">
      <c r="A19" s="28" t="s">
        <v>49</v>
      </c>
      <c r="B19" s="29" t="s">
        <v>143</v>
      </c>
      <c r="C19" s="74">
        <v>0</v>
      </c>
      <c r="D19" s="37">
        <v>0</v>
      </c>
      <c r="E19" s="37">
        <v>0</v>
      </c>
      <c r="F19" s="37">
        <v>9738</v>
      </c>
      <c r="G19" s="37">
        <v>4500</v>
      </c>
      <c r="H19" s="37">
        <v>-5238</v>
      </c>
      <c r="I19" s="86">
        <v>-1.1639999999999999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86">
        <v>0</v>
      </c>
      <c r="P19" s="37">
        <v>4500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  <c r="V19" s="86">
        <v>0</v>
      </c>
    </row>
    <row r="20" spans="1:22" s="3" customFormat="1" ht="15.75" thickBot="1" x14ac:dyDescent="0.3">
      <c r="A20" s="2"/>
      <c r="B20" s="87" t="s">
        <v>59</v>
      </c>
      <c r="C20" s="89">
        <f>IF(D20=0,0,(D20/(F20/12)))</f>
        <v>4.6044395077534119</v>
      </c>
      <c r="D20" s="6">
        <f>SUM(D2:D19)</f>
        <v>167056.49000000002</v>
      </c>
      <c r="E20" s="6">
        <f>SUM(E2:E19)</f>
        <v>304147.92</v>
      </c>
      <c r="F20" s="6">
        <f>SUM(F2:F19)</f>
        <v>435379.35</v>
      </c>
      <c r="G20" s="6">
        <f>SUM(G2:G19)</f>
        <v>540427.74</v>
      </c>
      <c r="H20" s="63">
        <f>SUM(H2:H19)</f>
        <v>105048.39</v>
      </c>
      <c r="I20" s="90">
        <f>IF(G20=0,0,(1-(F20/G20)))</f>
        <v>0.19438008493050341</v>
      </c>
      <c r="J20" s="63">
        <f>SUM(J2:J19)</f>
        <v>301233.13</v>
      </c>
      <c r="K20" s="63">
        <f>SUM(K2:K19)</f>
        <v>322797.03999999992</v>
      </c>
      <c r="L20" s="63">
        <f>SUM(L2:L19)</f>
        <v>439252.6</v>
      </c>
      <c r="M20" s="63">
        <f>SUM(M2:M19)</f>
        <v>610400.28</v>
      </c>
      <c r="N20" s="63">
        <f>SUM(N2:N19)</f>
        <v>171147.68</v>
      </c>
      <c r="O20" s="90">
        <f>IF(M20=0,0,(1-(L20/M20)))</f>
        <v>0.28038597885308969</v>
      </c>
      <c r="P20" s="63">
        <f t="shared" ref="P20:U20" si="0">SUM(P2:P19)</f>
        <v>546127</v>
      </c>
      <c r="Q20" s="63">
        <f t="shared" si="0"/>
        <v>330735.23</v>
      </c>
      <c r="R20" s="63">
        <f t="shared" si="0"/>
        <v>552589.47</v>
      </c>
      <c r="S20" s="63">
        <f t="shared" si="0"/>
        <v>516942.32999999996</v>
      </c>
      <c r="T20" s="63">
        <f t="shared" si="0"/>
        <v>792321.22000000009</v>
      </c>
      <c r="U20" s="63">
        <f t="shared" si="0"/>
        <v>275378.89</v>
      </c>
      <c r="V20" s="90">
        <f>IF(T20=0,0,(1-(S20/T20)))</f>
        <v>0.34755965516107235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3AFA4-38C5-4ACF-B6A5-D4ADA9D02876}">
  <sheetPr>
    <tabColor theme="9" tint="-0.499984740745262"/>
  </sheetPr>
  <dimension ref="A1:V5"/>
  <sheetViews>
    <sheetView zoomScale="90" zoomScaleNormal="90" workbookViewId="0">
      <selection activeCell="C6" sqref="C6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ht="24" x14ac:dyDescent="0.25">
      <c r="A2" s="26" t="s">
        <v>46</v>
      </c>
      <c r="B2" s="27" t="s">
        <v>102</v>
      </c>
      <c r="C2" s="73" cm="1">
        <f t="array" ref="C2:V4">'OL - All'!C17:V19</f>
        <v>0.74525096313800221</v>
      </c>
      <c r="D2" s="36">
        <v>1770.33</v>
      </c>
      <c r="E2" s="36">
        <v>7268.77</v>
      </c>
      <c r="F2" s="36">
        <v>28505.78</v>
      </c>
      <c r="G2" s="36">
        <v>12890.5</v>
      </c>
      <c r="H2" s="36">
        <v>-15615.28</v>
      </c>
      <c r="I2" s="85">
        <v>-1.2110000000000001</v>
      </c>
      <c r="J2" s="36">
        <v>22188.09</v>
      </c>
      <c r="K2" s="36">
        <v>61210.17</v>
      </c>
      <c r="L2" s="36">
        <v>30313.93</v>
      </c>
      <c r="M2" s="36">
        <v>49948.33</v>
      </c>
      <c r="N2" s="36">
        <v>19634.400000000001</v>
      </c>
      <c r="O2" s="85">
        <v>0.39300000000000002</v>
      </c>
      <c r="P2" s="36">
        <v>12891</v>
      </c>
      <c r="Q2" s="36">
        <v>0</v>
      </c>
      <c r="R2" s="36">
        <v>0</v>
      </c>
      <c r="S2" s="36">
        <v>41272.04</v>
      </c>
      <c r="T2" s="36">
        <v>55087.99</v>
      </c>
      <c r="U2" s="36">
        <v>13815.95</v>
      </c>
      <c r="V2" s="85">
        <v>0.251</v>
      </c>
    </row>
    <row r="3" spans="1:22" ht="24" x14ac:dyDescent="0.25">
      <c r="A3" s="26" t="s">
        <v>48</v>
      </c>
      <c r="B3" s="27" t="s">
        <v>102</v>
      </c>
      <c r="C3" s="73">
        <v>0</v>
      </c>
      <c r="D3" s="36">
        <v>0</v>
      </c>
      <c r="E3" s="36">
        <v>4332.3100000000004</v>
      </c>
      <c r="F3" s="36">
        <v>4332.3100000000004</v>
      </c>
      <c r="G3" s="36">
        <v>7449.69</v>
      </c>
      <c r="H3" s="36">
        <v>3117.38</v>
      </c>
      <c r="I3" s="85">
        <v>0.41799999999999998</v>
      </c>
      <c r="J3" s="36">
        <v>0</v>
      </c>
      <c r="K3" s="36">
        <v>4031.91</v>
      </c>
      <c r="L3" s="36">
        <v>3756.91</v>
      </c>
      <c r="M3" s="36">
        <v>4595.22</v>
      </c>
      <c r="N3" s="36">
        <v>838.31</v>
      </c>
      <c r="O3" s="85">
        <v>0.182</v>
      </c>
      <c r="P3" s="36">
        <v>7450</v>
      </c>
      <c r="Q3" s="36">
        <v>0</v>
      </c>
      <c r="R3" s="36">
        <v>0</v>
      </c>
      <c r="S3" s="36">
        <v>6208.68</v>
      </c>
      <c r="T3" s="36">
        <v>8261.2000000000007</v>
      </c>
      <c r="U3" s="36">
        <v>2052.52</v>
      </c>
      <c r="V3" s="85">
        <v>0.248</v>
      </c>
    </row>
    <row r="4" spans="1:22" ht="24.75" thickBot="1" x14ac:dyDescent="0.3">
      <c r="A4" s="26" t="s">
        <v>49</v>
      </c>
      <c r="B4" s="27" t="s">
        <v>102</v>
      </c>
      <c r="C4" s="73">
        <v>0</v>
      </c>
      <c r="D4" s="36">
        <v>0</v>
      </c>
      <c r="E4" s="36">
        <v>0</v>
      </c>
      <c r="F4" s="36">
        <v>0</v>
      </c>
      <c r="G4" s="36">
        <v>0</v>
      </c>
      <c r="H4" s="36">
        <v>0</v>
      </c>
      <c r="I4" s="85">
        <v>0</v>
      </c>
      <c r="J4" s="36">
        <v>0</v>
      </c>
      <c r="K4" s="36">
        <v>0</v>
      </c>
      <c r="L4" s="36">
        <v>0</v>
      </c>
      <c r="M4" s="36">
        <v>0</v>
      </c>
      <c r="N4" s="36">
        <v>0</v>
      </c>
      <c r="O4" s="85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85">
        <v>0</v>
      </c>
    </row>
    <row r="5" spans="1:22" s="3" customFormat="1" ht="15.75" thickBot="1" x14ac:dyDescent="0.3">
      <c r="A5" s="2"/>
      <c r="B5" s="87" t="s">
        <v>59</v>
      </c>
      <c r="C5" s="89">
        <f>IF(D5=0,0,(D5/(F5/12)))</f>
        <v>0.64693043962057484</v>
      </c>
      <c r="D5" s="6">
        <f>SUM(D2:D4)</f>
        <v>1770.33</v>
      </c>
      <c r="E5" s="6">
        <f>SUM(E2:E4)</f>
        <v>11601.080000000002</v>
      </c>
      <c r="F5" s="6">
        <f>SUM(F2:F4)</f>
        <v>32838.089999999997</v>
      </c>
      <c r="G5" s="6">
        <f>SUM(G2:G4)</f>
        <v>20340.189999999999</v>
      </c>
      <c r="H5" s="63">
        <f>SUM(H2:H4)</f>
        <v>-12497.900000000001</v>
      </c>
      <c r="I5" s="90">
        <f>IF(G5=0,0,(1-(F5/G5)))</f>
        <v>-0.61444362122477703</v>
      </c>
      <c r="J5" s="63">
        <f>SUM(J2:J4)</f>
        <v>22188.09</v>
      </c>
      <c r="K5" s="63">
        <f>SUM(K2:K4)</f>
        <v>65242.080000000002</v>
      </c>
      <c r="L5" s="63">
        <f>SUM(L2:L4)</f>
        <v>34070.839999999997</v>
      </c>
      <c r="M5" s="63">
        <f>SUM(M2:M4)</f>
        <v>54543.55</v>
      </c>
      <c r="N5" s="63">
        <f>SUM(N2:N4)</f>
        <v>20472.710000000003</v>
      </c>
      <c r="O5" s="90">
        <f>IF(M5=0,0,(1-(L5/M5)))</f>
        <v>0.37534612250211075</v>
      </c>
      <c r="P5" s="63">
        <f t="shared" ref="P5:U5" si="0">SUM(P2:P4)</f>
        <v>20341</v>
      </c>
      <c r="Q5" s="63">
        <f t="shared" si="0"/>
        <v>0</v>
      </c>
      <c r="R5" s="63">
        <f t="shared" si="0"/>
        <v>0</v>
      </c>
      <c r="S5" s="63">
        <f t="shared" si="0"/>
        <v>47480.72</v>
      </c>
      <c r="T5" s="63">
        <f t="shared" si="0"/>
        <v>63349.19</v>
      </c>
      <c r="U5" s="63">
        <f t="shared" si="0"/>
        <v>15868.470000000001</v>
      </c>
      <c r="V5" s="90">
        <f>IF(T5=0,0,(1-(S5/T5)))</f>
        <v>0.25049207416858843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  <outlinePr summaryBelow="0"/>
  </sheetPr>
  <dimension ref="A1:V32"/>
  <sheetViews>
    <sheetView zoomScale="90" zoomScaleNormal="90" workbookViewId="0">
      <pane ySplit="1" topLeftCell="A2" activePane="bottomLeft" state="frozen"/>
      <selection pane="bottomLeft" activeCell="C32" sqref="C32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14" t="s">
        <v>46</v>
      </c>
      <c r="B2" s="15" t="s">
        <v>47</v>
      </c>
      <c r="C2" s="68">
        <f>IF(D2=0,0,(D2/(F2/12)))</f>
        <v>0</v>
      </c>
      <c r="D2" s="79">
        <v>0</v>
      </c>
      <c r="E2" s="79">
        <v>0</v>
      </c>
      <c r="F2" s="79">
        <v>0</v>
      </c>
      <c r="G2" s="79">
        <v>0</v>
      </c>
      <c r="H2" s="79">
        <v>0</v>
      </c>
      <c r="I2" s="80">
        <f>IF(G2=0,0,ROUND((1 - F2 / G2), 3))</f>
        <v>0</v>
      </c>
      <c r="J2" s="79">
        <v>0</v>
      </c>
      <c r="K2" s="79">
        <v>-10.44</v>
      </c>
      <c r="L2" s="79">
        <v>0</v>
      </c>
      <c r="M2" s="79">
        <v>0</v>
      </c>
      <c r="N2" s="79">
        <v>0</v>
      </c>
      <c r="O2" s="80">
        <f>IF(M2=0,0,ROUND((1 - L2 / M2), 3))</f>
        <v>0</v>
      </c>
      <c r="P2" s="79">
        <v>0</v>
      </c>
      <c r="Q2" s="79">
        <v>0</v>
      </c>
      <c r="R2" s="79">
        <v>0</v>
      </c>
      <c r="S2" s="79">
        <v>0</v>
      </c>
      <c r="T2" s="79">
        <v>0</v>
      </c>
      <c r="U2" s="79">
        <v>0</v>
      </c>
      <c r="V2" s="80">
        <f>IF(T2=0,0,ROUND((1-S2/T2),3))</f>
        <v>0</v>
      </c>
    </row>
    <row r="3" spans="1:22" x14ac:dyDescent="0.25">
      <c r="A3" s="16" t="s">
        <v>48</v>
      </c>
      <c r="B3" s="17" t="s">
        <v>47</v>
      </c>
      <c r="C3" s="68">
        <f t="shared" ref="C3:C32" si="0">IF(D3=0,0,(D3/(F3/12)))</f>
        <v>6.018818556511718</v>
      </c>
      <c r="D3" s="79">
        <v>17808.37</v>
      </c>
      <c r="E3" s="79">
        <v>29616.44</v>
      </c>
      <c r="F3" s="79">
        <v>35505.379999999997</v>
      </c>
      <c r="G3" s="79">
        <v>48108.78</v>
      </c>
      <c r="H3" s="79">
        <v>12603.4</v>
      </c>
      <c r="I3" s="80">
        <f t="shared" ref="I3:I32" si="1">IF(G3=0,0,ROUND((1 - F3 / G3), 3))</f>
        <v>0.26200000000000001</v>
      </c>
      <c r="J3" s="79">
        <v>24710.36</v>
      </c>
      <c r="K3" s="79">
        <v>52125.34</v>
      </c>
      <c r="L3" s="79">
        <v>34010.81</v>
      </c>
      <c r="M3" s="79">
        <v>48674.68</v>
      </c>
      <c r="N3" s="79">
        <v>14663.87</v>
      </c>
      <c r="O3" s="80">
        <f t="shared" ref="O3:O32" si="2">IF(M3=0,0,ROUND((1 - L3 / M3), 3))</f>
        <v>0.30099999999999999</v>
      </c>
      <c r="P3" s="79">
        <v>48110</v>
      </c>
      <c r="Q3" s="79">
        <v>9422.64</v>
      </c>
      <c r="R3" s="79">
        <v>66.88</v>
      </c>
      <c r="S3" s="79">
        <v>34502.199999999997</v>
      </c>
      <c r="T3" s="79">
        <v>47777.279999999999</v>
      </c>
      <c r="U3" s="79">
        <v>13275.08</v>
      </c>
      <c r="V3" s="80">
        <f t="shared" ref="V3:V32" si="3">IF(T3=0,0,ROUND((1-S3/T3),3))</f>
        <v>0.27800000000000002</v>
      </c>
    </row>
    <row r="4" spans="1:22" x14ac:dyDescent="0.25">
      <c r="A4" s="16" t="s">
        <v>49</v>
      </c>
      <c r="B4" s="17" t="s">
        <v>47</v>
      </c>
      <c r="C4" s="68">
        <f t="shared" si="0"/>
        <v>0</v>
      </c>
      <c r="D4" s="79">
        <v>0</v>
      </c>
      <c r="E4" s="79">
        <v>0</v>
      </c>
      <c r="F4" s="79">
        <v>0</v>
      </c>
      <c r="G4" s="79">
        <v>0</v>
      </c>
      <c r="H4" s="79">
        <v>0</v>
      </c>
      <c r="I4" s="80">
        <f t="shared" si="1"/>
        <v>0</v>
      </c>
      <c r="J4" s="79">
        <v>0</v>
      </c>
      <c r="K4" s="79">
        <v>0</v>
      </c>
      <c r="L4" s="79">
        <v>0</v>
      </c>
      <c r="M4" s="79">
        <v>0</v>
      </c>
      <c r="N4" s="79">
        <v>0</v>
      </c>
      <c r="O4" s="80">
        <f t="shared" si="2"/>
        <v>0</v>
      </c>
      <c r="P4" s="79">
        <v>0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f t="shared" si="3"/>
        <v>0</v>
      </c>
    </row>
    <row r="5" spans="1:22" x14ac:dyDescent="0.25">
      <c r="A5" s="18" t="s">
        <v>46</v>
      </c>
      <c r="B5" s="19" t="s">
        <v>50</v>
      </c>
      <c r="C5" s="69">
        <f t="shared" si="0"/>
        <v>2.4550986725175656</v>
      </c>
      <c r="D5" s="32">
        <v>72635.509999999995</v>
      </c>
      <c r="E5" s="32">
        <v>390948.98</v>
      </c>
      <c r="F5" s="32">
        <v>355026.92</v>
      </c>
      <c r="G5" s="32">
        <v>534133.51</v>
      </c>
      <c r="H5" s="32">
        <v>179106.59</v>
      </c>
      <c r="I5" s="81">
        <f t="shared" si="1"/>
        <v>0.33500000000000002</v>
      </c>
      <c r="J5" s="32">
        <v>43290.39</v>
      </c>
      <c r="K5" s="32">
        <v>397723.87</v>
      </c>
      <c r="L5" s="32">
        <v>417668.18</v>
      </c>
      <c r="M5" s="32">
        <v>628228.02</v>
      </c>
      <c r="N5" s="32">
        <v>210559.84</v>
      </c>
      <c r="O5" s="81">
        <f t="shared" si="2"/>
        <v>0.33500000000000002</v>
      </c>
      <c r="P5" s="32">
        <v>534137</v>
      </c>
      <c r="Q5" s="32">
        <v>34126.28</v>
      </c>
      <c r="R5" s="32">
        <v>392079.64</v>
      </c>
      <c r="S5" s="32">
        <v>387617.13</v>
      </c>
      <c r="T5" s="32">
        <v>584417.30000000005</v>
      </c>
      <c r="U5" s="32">
        <v>196800.17</v>
      </c>
      <c r="V5" s="81">
        <f t="shared" si="3"/>
        <v>0.33700000000000002</v>
      </c>
    </row>
    <row r="6" spans="1:22" x14ac:dyDescent="0.25">
      <c r="A6" s="18" t="s">
        <v>48</v>
      </c>
      <c r="B6" s="19" t="s">
        <v>50</v>
      </c>
      <c r="C6" s="69">
        <f t="shared" si="0"/>
        <v>4.184758523244426</v>
      </c>
      <c r="D6" s="32">
        <v>136685.16</v>
      </c>
      <c r="E6" s="32">
        <v>427672.07</v>
      </c>
      <c r="F6" s="32">
        <v>391951.39</v>
      </c>
      <c r="G6" s="32">
        <v>555151.31000000006</v>
      </c>
      <c r="H6" s="32">
        <v>163199.92000000001</v>
      </c>
      <c r="I6" s="81">
        <f t="shared" si="1"/>
        <v>0.29399999999999998</v>
      </c>
      <c r="J6" s="32">
        <v>114979.87</v>
      </c>
      <c r="K6" s="32">
        <v>394079.05</v>
      </c>
      <c r="L6" s="32">
        <v>397510.48</v>
      </c>
      <c r="M6" s="32">
        <v>565681.26</v>
      </c>
      <c r="N6" s="32">
        <v>168170.78</v>
      </c>
      <c r="O6" s="81">
        <f t="shared" si="2"/>
        <v>0.29699999999999999</v>
      </c>
      <c r="P6" s="32">
        <v>555156</v>
      </c>
      <c r="Q6" s="32">
        <v>73053.22</v>
      </c>
      <c r="R6" s="32">
        <v>376465.19</v>
      </c>
      <c r="S6" s="32">
        <v>396624.19</v>
      </c>
      <c r="T6" s="32">
        <v>570080.72</v>
      </c>
      <c r="U6" s="32">
        <v>173456.53</v>
      </c>
      <c r="V6" s="81">
        <f t="shared" si="3"/>
        <v>0.30399999999999999</v>
      </c>
    </row>
    <row r="7" spans="1:22" x14ac:dyDescent="0.25">
      <c r="A7" s="18" t="s">
        <v>49</v>
      </c>
      <c r="B7" s="19" t="s">
        <v>50</v>
      </c>
      <c r="C7" s="69">
        <f t="shared" si="0"/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f t="shared" si="1"/>
        <v>0</v>
      </c>
      <c r="J7" s="32">
        <v>86.74</v>
      </c>
      <c r="K7" s="32">
        <v>94.81</v>
      </c>
      <c r="L7" s="32">
        <v>8.16</v>
      </c>
      <c r="M7" s="32">
        <v>11.98</v>
      </c>
      <c r="N7" s="32">
        <v>3.82</v>
      </c>
      <c r="O7" s="81">
        <f t="shared" si="2"/>
        <v>0.31900000000000001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f t="shared" si="3"/>
        <v>0</v>
      </c>
    </row>
    <row r="8" spans="1:22" x14ac:dyDescent="0.25">
      <c r="A8" s="20" t="s">
        <v>46</v>
      </c>
      <c r="B8" s="21" t="s">
        <v>51</v>
      </c>
      <c r="C8" s="70">
        <f t="shared" si="0"/>
        <v>4.429419547248199</v>
      </c>
      <c r="D8" s="33">
        <v>3841.75</v>
      </c>
      <c r="E8" s="33">
        <v>12566.3</v>
      </c>
      <c r="F8" s="33">
        <v>10407.91</v>
      </c>
      <c r="G8" s="33">
        <v>16393.3</v>
      </c>
      <c r="H8" s="33">
        <v>5985.39</v>
      </c>
      <c r="I8" s="82">
        <f t="shared" si="1"/>
        <v>0.36499999999999999</v>
      </c>
      <c r="J8" s="33">
        <v>2702.87</v>
      </c>
      <c r="K8" s="33">
        <v>6981.21</v>
      </c>
      <c r="L8" s="33">
        <v>8360.02</v>
      </c>
      <c r="M8" s="33">
        <v>13002.29</v>
      </c>
      <c r="N8" s="33">
        <v>4642.2700000000004</v>
      </c>
      <c r="O8" s="82">
        <f t="shared" si="2"/>
        <v>0.35699999999999998</v>
      </c>
      <c r="P8" s="33">
        <v>16395</v>
      </c>
      <c r="Q8" s="33">
        <v>4129.93</v>
      </c>
      <c r="R8" s="33">
        <v>4332.95</v>
      </c>
      <c r="S8" s="33">
        <v>3627.45</v>
      </c>
      <c r="T8" s="33">
        <v>6361.71</v>
      </c>
      <c r="U8" s="33">
        <v>2734.26</v>
      </c>
      <c r="V8" s="82">
        <f t="shared" si="3"/>
        <v>0.43</v>
      </c>
    </row>
    <row r="9" spans="1:22" x14ac:dyDescent="0.25">
      <c r="A9" s="20" t="s">
        <v>48</v>
      </c>
      <c r="B9" s="21" t="s">
        <v>51</v>
      </c>
      <c r="C9" s="70">
        <f t="shared" si="0"/>
        <v>4.2620745031788996</v>
      </c>
      <c r="D9" s="33">
        <v>24257.32</v>
      </c>
      <c r="E9" s="33">
        <v>73048.11</v>
      </c>
      <c r="F9" s="33">
        <v>68297.22</v>
      </c>
      <c r="G9" s="33">
        <v>92586.03</v>
      </c>
      <c r="H9" s="33">
        <v>24288.81</v>
      </c>
      <c r="I9" s="82">
        <f t="shared" si="1"/>
        <v>0.26200000000000001</v>
      </c>
      <c r="J9" s="33">
        <v>25058.41</v>
      </c>
      <c r="K9" s="33">
        <v>67007.97</v>
      </c>
      <c r="L9" s="33">
        <v>59154.35</v>
      </c>
      <c r="M9" s="33">
        <v>81225.39</v>
      </c>
      <c r="N9" s="33">
        <v>22071.040000000001</v>
      </c>
      <c r="O9" s="82">
        <f t="shared" si="2"/>
        <v>0.27200000000000002</v>
      </c>
      <c r="P9" s="33">
        <v>92584</v>
      </c>
      <c r="Q9" s="33">
        <v>19631.48</v>
      </c>
      <c r="R9" s="33">
        <v>65229.99</v>
      </c>
      <c r="S9" s="33">
        <v>78613.73</v>
      </c>
      <c r="T9" s="33">
        <v>112463.86</v>
      </c>
      <c r="U9" s="33">
        <v>33850.129999999997</v>
      </c>
      <c r="V9" s="82">
        <f t="shared" si="3"/>
        <v>0.30099999999999999</v>
      </c>
    </row>
    <row r="10" spans="1:22" x14ac:dyDescent="0.25">
      <c r="A10" s="20" t="s">
        <v>49</v>
      </c>
      <c r="B10" s="21" t="s">
        <v>51</v>
      </c>
      <c r="C10" s="70">
        <f t="shared" si="0"/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f t="shared" si="1"/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f t="shared" si="2"/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f t="shared" si="3"/>
        <v>0</v>
      </c>
    </row>
    <row r="11" spans="1:22" x14ac:dyDescent="0.25">
      <c r="A11" s="22" t="s">
        <v>46</v>
      </c>
      <c r="B11" s="23" t="s">
        <v>52</v>
      </c>
      <c r="C11" s="71">
        <f t="shared" si="0"/>
        <v>3.4935762369390693</v>
      </c>
      <c r="D11" s="34">
        <v>4849.8</v>
      </c>
      <c r="E11" s="34">
        <v>17329.580000000002</v>
      </c>
      <c r="F11" s="34">
        <v>16658.46</v>
      </c>
      <c r="G11" s="34">
        <v>24920.59</v>
      </c>
      <c r="H11" s="34">
        <v>8262.1299999999992</v>
      </c>
      <c r="I11" s="83">
        <f t="shared" si="1"/>
        <v>0.33200000000000002</v>
      </c>
      <c r="J11" s="34">
        <v>5401.11</v>
      </c>
      <c r="K11" s="34">
        <v>18523.349999999999</v>
      </c>
      <c r="L11" s="34">
        <v>19154.57</v>
      </c>
      <c r="M11" s="34">
        <v>28432.98</v>
      </c>
      <c r="N11" s="34">
        <v>9278.41</v>
      </c>
      <c r="O11" s="83">
        <f t="shared" si="2"/>
        <v>0.32600000000000001</v>
      </c>
      <c r="P11" s="34">
        <v>24921</v>
      </c>
      <c r="Q11" s="34">
        <v>7439.79</v>
      </c>
      <c r="R11" s="34">
        <v>24938.04</v>
      </c>
      <c r="S11" s="34">
        <v>25000.01</v>
      </c>
      <c r="T11" s="34">
        <v>42287.16</v>
      </c>
      <c r="U11" s="34">
        <v>17287.150000000001</v>
      </c>
      <c r="V11" s="83">
        <f t="shared" si="3"/>
        <v>0.40899999999999997</v>
      </c>
    </row>
    <row r="12" spans="1:22" x14ac:dyDescent="0.25">
      <c r="A12" s="22" t="s">
        <v>48</v>
      </c>
      <c r="B12" s="23" t="s">
        <v>52</v>
      </c>
      <c r="C12" s="71">
        <f t="shared" si="0"/>
        <v>5.1363473937034536</v>
      </c>
      <c r="D12" s="34">
        <v>11008.01</v>
      </c>
      <c r="E12" s="34">
        <v>27210.94</v>
      </c>
      <c r="F12" s="34">
        <v>25717.91</v>
      </c>
      <c r="G12" s="34">
        <v>36409.370000000003</v>
      </c>
      <c r="H12" s="34">
        <v>10691.46</v>
      </c>
      <c r="I12" s="83">
        <f t="shared" si="1"/>
        <v>0.29399999999999998</v>
      </c>
      <c r="J12" s="34">
        <v>11716.02</v>
      </c>
      <c r="K12" s="34">
        <v>27563.5</v>
      </c>
      <c r="L12" s="34">
        <v>21593.040000000001</v>
      </c>
      <c r="M12" s="34">
        <v>30399.31</v>
      </c>
      <c r="N12" s="34">
        <v>8806.27</v>
      </c>
      <c r="O12" s="83">
        <f t="shared" si="2"/>
        <v>0.28999999999999998</v>
      </c>
      <c r="P12" s="34">
        <v>36411</v>
      </c>
      <c r="Q12" s="34">
        <v>6940.05</v>
      </c>
      <c r="R12" s="34">
        <v>22907.86</v>
      </c>
      <c r="S12" s="34">
        <v>24715.71</v>
      </c>
      <c r="T12" s="34">
        <v>34877.35</v>
      </c>
      <c r="U12" s="34">
        <v>10161.64</v>
      </c>
      <c r="V12" s="83">
        <f t="shared" si="3"/>
        <v>0.29099999999999998</v>
      </c>
    </row>
    <row r="13" spans="1:22" x14ac:dyDescent="0.25">
      <c r="A13" s="22" t="s">
        <v>49</v>
      </c>
      <c r="B13" s="23" t="s">
        <v>52</v>
      </c>
      <c r="C13" s="71">
        <f t="shared" si="0"/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83">
        <f t="shared" si="1"/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83">
        <f t="shared" si="2"/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f t="shared" si="3"/>
        <v>0</v>
      </c>
    </row>
    <row r="14" spans="1:22" x14ac:dyDescent="0.25">
      <c r="A14" s="24" t="s">
        <v>46</v>
      </c>
      <c r="B14" s="25" t="s">
        <v>53</v>
      </c>
      <c r="C14" s="72">
        <f t="shared" si="0"/>
        <v>1.9017489329426989</v>
      </c>
      <c r="D14" s="35">
        <v>2557.5100000000002</v>
      </c>
      <c r="E14" s="35">
        <v>17548.240000000002</v>
      </c>
      <c r="F14" s="35">
        <v>16137.84</v>
      </c>
      <c r="G14" s="35">
        <v>22642.12</v>
      </c>
      <c r="H14" s="35">
        <v>6504.28</v>
      </c>
      <c r="I14" s="84">
        <f t="shared" si="1"/>
        <v>0.28699999999999998</v>
      </c>
      <c r="J14" s="35">
        <v>1484.72</v>
      </c>
      <c r="K14" s="35">
        <v>11895.65</v>
      </c>
      <c r="L14" s="35">
        <v>12717.62</v>
      </c>
      <c r="M14" s="35">
        <v>18511.71</v>
      </c>
      <c r="N14" s="35">
        <v>5794.09</v>
      </c>
      <c r="O14" s="84">
        <f t="shared" si="2"/>
        <v>0.313</v>
      </c>
      <c r="P14" s="35">
        <v>22642</v>
      </c>
      <c r="Q14" s="35">
        <v>2567.1</v>
      </c>
      <c r="R14" s="35">
        <v>10052.94</v>
      </c>
      <c r="S14" s="35">
        <v>8990.06</v>
      </c>
      <c r="T14" s="35">
        <v>13228.97</v>
      </c>
      <c r="U14" s="35">
        <v>4238.91</v>
      </c>
      <c r="V14" s="84">
        <f t="shared" si="3"/>
        <v>0.32</v>
      </c>
    </row>
    <row r="15" spans="1:22" x14ac:dyDescent="0.25">
      <c r="A15" s="24" t="s">
        <v>48</v>
      </c>
      <c r="B15" s="25" t="s">
        <v>53</v>
      </c>
      <c r="C15" s="72">
        <f t="shared" si="0"/>
        <v>3.509142323084665</v>
      </c>
      <c r="D15" s="35">
        <v>4392.99</v>
      </c>
      <c r="E15" s="35">
        <v>17837.78</v>
      </c>
      <c r="F15" s="35">
        <v>15022.44</v>
      </c>
      <c r="G15" s="35">
        <v>19988.88</v>
      </c>
      <c r="H15" s="35">
        <v>4966.4399999999996</v>
      </c>
      <c r="I15" s="84">
        <f t="shared" si="1"/>
        <v>0.248</v>
      </c>
      <c r="J15" s="35">
        <v>2316.04</v>
      </c>
      <c r="K15" s="35">
        <v>3317.09</v>
      </c>
      <c r="L15" s="35">
        <v>6506.15</v>
      </c>
      <c r="M15" s="35">
        <v>9087.1</v>
      </c>
      <c r="N15" s="35">
        <v>2580.9499999999998</v>
      </c>
      <c r="O15" s="84">
        <f t="shared" si="2"/>
        <v>0.28399999999999997</v>
      </c>
      <c r="P15" s="35">
        <v>19990</v>
      </c>
      <c r="Q15" s="35">
        <v>8505.19</v>
      </c>
      <c r="R15" s="35">
        <v>3869.79</v>
      </c>
      <c r="S15" s="35">
        <v>8992.34</v>
      </c>
      <c r="T15" s="35">
        <v>11730.64</v>
      </c>
      <c r="U15" s="35">
        <v>2738.3</v>
      </c>
      <c r="V15" s="84">
        <f t="shared" si="3"/>
        <v>0.23300000000000001</v>
      </c>
    </row>
    <row r="16" spans="1:22" x14ac:dyDescent="0.25">
      <c r="A16" s="24" t="s">
        <v>49</v>
      </c>
      <c r="B16" s="25" t="s">
        <v>53</v>
      </c>
      <c r="C16" s="72">
        <f t="shared" si="0"/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f t="shared" si="1"/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f t="shared" si="2"/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f t="shared" si="3"/>
        <v>0</v>
      </c>
    </row>
    <row r="17" spans="1:22" x14ac:dyDescent="0.25">
      <c r="A17" s="26" t="s">
        <v>46</v>
      </c>
      <c r="B17" s="27" t="s">
        <v>54</v>
      </c>
      <c r="C17" s="73">
        <f t="shared" si="0"/>
        <v>2.4854987513223801</v>
      </c>
      <c r="D17" s="36">
        <v>12273.95</v>
      </c>
      <c r="E17" s="36">
        <v>62892.18</v>
      </c>
      <c r="F17" s="36">
        <v>59258.69</v>
      </c>
      <c r="G17" s="36">
        <v>92900.160000000003</v>
      </c>
      <c r="H17" s="36">
        <v>33641.47</v>
      </c>
      <c r="I17" s="85">
        <f t="shared" si="1"/>
        <v>0.36199999999999999</v>
      </c>
      <c r="J17" s="36">
        <v>9946.2199999999993</v>
      </c>
      <c r="K17" s="36">
        <v>65210.98</v>
      </c>
      <c r="L17" s="36">
        <v>69138.3</v>
      </c>
      <c r="M17" s="36">
        <v>112004.5</v>
      </c>
      <c r="N17" s="36">
        <v>42866.2</v>
      </c>
      <c r="O17" s="85">
        <f t="shared" si="2"/>
        <v>0.38300000000000001</v>
      </c>
      <c r="P17" s="36">
        <v>92900</v>
      </c>
      <c r="Q17" s="36">
        <v>9976.02</v>
      </c>
      <c r="R17" s="36">
        <v>43061.16</v>
      </c>
      <c r="S17" s="36">
        <v>47853.86</v>
      </c>
      <c r="T17" s="36">
        <v>75911.11</v>
      </c>
      <c r="U17" s="36">
        <v>28057.25</v>
      </c>
      <c r="V17" s="85">
        <f t="shared" si="3"/>
        <v>0.37</v>
      </c>
    </row>
    <row r="18" spans="1:22" x14ac:dyDescent="0.25">
      <c r="A18" s="26" t="s">
        <v>48</v>
      </c>
      <c r="B18" s="27" t="s">
        <v>54</v>
      </c>
      <c r="C18" s="73">
        <f t="shared" si="0"/>
        <v>8.1664299441677954</v>
      </c>
      <c r="D18" s="36">
        <v>15605.51</v>
      </c>
      <c r="E18" s="36">
        <v>26217.79</v>
      </c>
      <c r="F18" s="36">
        <v>22931.21</v>
      </c>
      <c r="G18" s="36">
        <v>34314.839999999997</v>
      </c>
      <c r="H18" s="36">
        <v>11383.63</v>
      </c>
      <c r="I18" s="85">
        <f t="shared" si="1"/>
        <v>0.33200000000000002</v>
      </c>
      <c r="J18" s="36">
        <v>41327.129999999997</v>
      </c>
      <c r="K18" s="36">
        <v>30026.84</v>
      </c>
      <c r="L18" s="36">
        <v>29122.21</v>
      </c>
      <c r="M18" s="36">
        <v>42622.86</v>
      </c>
      <c r="N18" s="36">
        <v>13500.65</v>
      </c>
      <c r="O18" s="85">
        <f t="shared" si="2"/>
        <v>0.317</v>
      </c>
      <c r="P18" s="36">
        <v>34315</v>
      </c>
      <c r="Q18" s="36">
        <v>20451.59</v>
      </c>
      <c r="R18" s="36">
        <v>66244.97</v>
      </c>
      <c r="S18" s="36">
        <v>61639.44</v>
      </c>
      <c r="T18" s="36">
        <v>86215.21</v>
      </c>
      <c r="U18" s="36">
        <v>24575.77</v>
      </c>
      <c r="V18" s="85">
        <f t="shared" si="3"/>
        <v>0.28499999999999998</v>
      </c>
    </row>
    <row r="19" spans="1:22" x14ac:dyDescent="0.25">
      <c r="A19" s="26" t="s">
        <v>49</v>
      </c>
      <c r="B19" s="27" t="s">
        <v>54</v>
      </c>
      <c r="C19" s="73">
        <f t="shared" si="0"/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f t="shared" si="1"/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85">
        <f t="shared" si="2"/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f t="shared" si="3"/>
        <v>0</v>
      </c>
    </row>
    <row r="20" spans="1:22" x14ac:dyDescent="0.25">
      <c r="A20" s="28" t="s">
        <v>46</v>
      </c>
      <c r="B20" s="29" t="s">
        <v>55</v>
      </c>
      <c r="C20" s="74">
        <f t="shared" si="0"/>
        <v>3.2463293860537363</v>
      </c>
      <c r="D20" s="37">
        <v>18233.78</v>
      </c>
      <c r="E20" s="37">
        <v>73666.990000000005</v>
      </c>
      <c r="F20" s="37">
        <v>67400.850000000006</v>
      </c>
      <c r="G20" s="37">
        <v>90130.3</v>
      </c>
      <c r="H20" s="37">
        <v>22729.45</v>
      </c>
      <c r="I20" s="86">
        <f t="shared" si="1"/>
        <v>0.252</v>
      </c>
      <c r="J20" s="37">
        <v>12561.09</v>
      </c>
      <c r="K20" s="37">
        <v>61522.85</v>
      </c>
      <c r="L20" s="37">
        <v>58969.62</v>
      </c>
      <c r="M20" s="37">
        <v>79034.73</v>
      </c>
      <c r="N20" s="37">
        <v>20065.11</v>
      </c>
      <c r="O20" s="86">
        <f t="shared" si="2"/>
        <v>0.254</v>
      </c>
      <c r="P20" s="37">
        <v>90130</v>
      </c>
      <c r="Q20" s="37">
        <v>6582.08</v>
      </c>
      <c r="R20" s="37">
        <v>54985.79</v>
      </c>
      <c r="S20" s="37">
        <v>51822.400000000001</v>
      </c>
      <c r="T20" s="37">
        <v>68717.66</v>
      </c>
      <c r="U20" s="37">
        <v>16895.259999999998</v>
      </c>
      <c r="V20" s="86">
        <f t="shared" si="3"/>
        <v>0.246</v>
      </c>
    </row>
    <row r="21" spans="1:22" x14ac:dyDescent="0.25">
      <c r="A21" s="28" t="s">
        <v>48</v>
      </c>
      <c r="B21" s="29" t="s">
        <v>55</v>
      </c>
      <c r="C21" s="74">
        <f t="shared" si="0"/>
        <v>4.9726822062996412</v>
      </c>
      <c r="D21" s="37">
        <v>15991.11</v>
      </c>
      <c r="E21" s="37">
        <v>41859.32</v>
      </c>
      <c r="F21" s="37">
        <v>38589.5</v>
      </c>
      <c r="G21" s="37">
        <v>50490.67</v>
      </c>
      <c r="H21" s="37">
        <v>11901.17</v>
      </c>
      <c r="I21" s="86">
        <f t="shared" si="1"/>
        <v>0.23599999999999999</v>
      </c>
      <c r="J21" s="37">
        <v>15738.84</v>
      </c>
      <c r="K21" s="37">
        <v>39300.92</v>
      </c>
      <c r="L21" s="37">
        <v>40783.61</v>
      </c>
      <c r="M21" s="37">
        <v>53924.35</v>
      </c>
      <c r="N21" s="37">
        <v>13140.74</v>
      </c>
      <c r="O21" s="86">
        <f t="shared" si="2"/>
        <v>0.24399999999999999</v>
      </c>
      <c r="P21" s="37">
        <v>50492</v>
      </c>
      <c r="Q21" s="37">
        <v>14280.24</v>
      </c>
      <c r="R21" s="37">
        <v>40111.19</v>
      </c>
      <c r="S21" s="37">
        <v>41521.71</v>
      </c>
      <c r="T21" s="37">
        <v>54330.67</v>
      </c>
      <c r="U21" s="37">
        <v>12808.96</v>
      </c>
      <c r="V21" s="86">
        <f t="shared" si="3"/>
        <v>0.23599999999999999</v>
      </c>
    </row>
    <row r="22" spans="1:22" x14ac:dyDescent="0.25">
      <c r="A22" s="28" t="s">
        <v>49</v>
      </c>
      <c r="B22" s="29" t="s">
        <v>55</v>
      </c>
      <c r="C22" s="74">
        <f t="shared" si="0"/>
        <v>0</v>
      </c>
      <c r="D22" s="37">
        <v>0</v>
      </c>
      <c r="E22" s="37">
        <v>15.48</v>
      </c>
      <c r="F22" s="37">
        <v>0</v>
      </c>
      <c r="G22" s="37">
        <v>0</v>
      </c>
      <c r="H22" s="37">
        <v>0</v>
      </c>
      <c r="I22" s="86">
        <f t="shared" si="1"/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86">
        <f t="shared" si="2"/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f t="shared" si="3"/>
        <v>0</v>
      </c>
    </row>
    <row r="23" spans="1:22" x14ac:dyDescent="0.25">
      <c r="A23" s="16" t="s">
        <v>46</v>
      </c>
      <c r="B23" s="17" t="s">
        <v>56</v>
      </c>
      <c r="C23" s="68">
        <f t="shared" si="0"/>
        <v>0</v>
      </c>
      <c r="D23" s="79">
        <v>0</v>
      </c>
      <c r="E23" s="79">
        <v>-0.01</v>
      </c>
      <c r="F23" s="79">
        <v>0</v>
      </c>
      <c r="G23" s="79">
        <v>0</v>
      </c>
      <c r="H23" s="79">
        <v>0</v>
      </c>
      <c r="I23" s="80">
        <f t="shared" si="1"/>
        <v>0</v>
      </c>
      <c r="J23" s="79">
        <v>0</v>
      </c>
      <c r="K23" s="79">
        <v>110.47</v>
      </c>
      <c r="L23" s="79">
        <v>110.47</v>
      </c>
      <c r="M23" s="79">
        <v>20.2</v>
      </c>
      <c r="N23" s="79">
        <v>-90.27</v>
      </c>
      <c r="O23" s="80">
        <f t="shared" si="2"/>
        <v>-4.4690000000000003</v>
      </c>
      <c r="P23" s="79">
        <v>0</v>
      </c>
      <c r="Q23" s="79">
        <v>0</v>
      </c>
      <c r="R23" s="79">
        <v>-352</v>
      </c>
      <c r="S23" s="79">
        <v>-332.4</v>
      </c>
      <c r="T23" s="79">
        <v>-496.63</v>
      </c>
      <c r="U23" s="79">
        <v>-164.23</v>
      </c>
      <c r="V23" s="80">
        <f t="shared" si="3"/>
        <v>0.33100000000000002</v>
      </c>
    </row>
    <row r="24" spans="1:22" x14ac:dyDescent="0.25">
      <c r="A24" s="16" t="s">
        <v>48</v>
      </c>
      <c r="B24" s="17" t="s">
        <v>56</v>
      </c>
      <c r="C24" s="68">
        <f t="shared" si="0"/>
        <v>13.298603601695389</v>
      </c>
      <c r="D24" s="79">
        <v>19881.900000000001</v>
      </c>
      <c r="E24" s="79">
        <v>17270.3</v>
      </c>
      <c r="F24" s="79">
        <v>17940.439999999999</v>
      </c>
      <c r="G24" s="79">
        <v>23990.11</v>
      </c>
      <c r="H24" s="79">
        <v>6049.67</v>
      </c>
      <c r="I24" s="80">
        <f t="shared" si="1"/>
        <v>0.252</v>
      </c>
      <c r="J24" s="79">
        <v>48040.4</v>
      </c>
      <c r="K24" s="79">
        <v>83121.53</v>
      </c>
      <c r="L24" s="79">
        <v>71379.53</v>
      </c>
      <c r="M24" s="79">
        <v>93016.4</v>
      </c>
      <c r="N24" s="79">
        <v>21636.87</v>
      </c>
      <c r="O24" s="80">
        <f t="shared" si="2"/>
        <v>0.23300000000000001</v>
      </c>
      <c r="P24" s="79">
        <v>23991</v>
      </c>
      <c r="Q24" s="79">
        <v>55358.75</v>
      </c>
      <c r="R24" s="79">
        <v>59442.71</v>
      </c>
      <c r="S24" s="79">
        <v>53411.09</v>
      </c>
      <c r="T24" s="79">
        <v>69436.820000000007</v>
      </c>
      <c r="U24" s="79">
        <v>16025.73</v>
      </c>
      <c r="V24" s="80">
        <f t="shared" si="3"/>
        <v>0.23100000000000001</v>
      </c>
    </row>
    <row r="25" spans="1:22" x14ac:dyDescent="0.25">
      <c r="A25" s="16" t="s">
        <v>49</v>
      </c>
      <c r="B25" s="17" t="s">
        <v>56</v>
      </c>
      <c r="C25" s="68">
        <f t="shared" si="0"/>
        <v>0</v>
      </c>
      <c r="D25" s="79">
        <v>0</v>
      </c>
      <c r="E25" s="79">
        <v>0</v>
      </c>
      <c r="F25" s="79">
        <v>0</v>
      </c>
      <c r="G25" s="79">
        <v>0</v>
      </c>
      <c r="H25" s="79">
        <v>0</v>
      </c>
      <c r="I25" s="80">
        <f t="shared" si="1"/>
        <v>0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  <c r="O25" s="80">
        <f t="shared" si="2"/>
        <v>0</v>
      </c>
      <c r="P25" s="79">
        <v>0</v>
      </c>
      <c r="Q25" s="79">
        <v>0</v>
      </c>
      <c r="R25" s="79">
        <v>0</v>
      </c>
      <c r="S25" s="79">
        <v>0</v>
      </c>
      <c r="T25" s="79">
        <v>0</v>
      </c>
      <c r="U25" s="79">
        <v>0</v>
      </c>
      <c r="V25" s="80">
        <f t="shared" si="3"/>
        <v>0</v>
      </c>
    </row>
    <row r="26" spans="1:22" x14ac:dyDescent="0.25">
      <c r="A26" s="18" t="s">
        <v>46</v>
      </c>
      <c r="B26" s="19" t="s">
        <v>57</v>
      </c>
      <c r="C26" s="69">
        <f t="shared" si="0"/>
        <v>4.4717155786034635</v>
      </c>
      <c r="D26" s="32">
        <v>10180.93</v>
      </c>
      <c r="E26" s="32">
        <v>36105.599999999999</v>
      </c>
      <c r="F26" s="32">
        <v>27320.87</v>
      </c>
      <c r="G26" s="32">
        <v>48507.69</v>
      </c>
      <c r="H26" s="32">
        <v>21186.82</v>
      </c>
      <c r="I26" s="81">
        <f t="shared" si="1"/>
        <v>0.437</v>
      </c>
      <c r="J26" s="32">
        <v>2509.1799999999998</v>
      </c>
      <c r="K26" s="32">
        <v>34362.71</v>
      </c>
      <c r="L26" s="32">
        <v>34118.79</v>
      </c>
      <c r="M26" s="32">
        <v>61037.41</v>
      </c>
      <c r="N26" s="32">
        <v>26918.62</v>
      </c>
      <c r="O26" s="81">
        <f t="shared" si="2"/>
        <v>0.441</v>
      </c>
      <c r="P26" s="32">
        <v>48508</v>
      </c>
      <c r="Q26" s="32">
        <v>1953.73</v>
      </c>
      <c r="R26" s="32">
        <v>22077.26</v>
      </c>
      <c r="S26" s="32">
        <v>26813.69</v>
      </c>
      <c r="T26" s="32">
        <v>48316.72</v>
      </c>
      <c r="U26" s="32">
        <v>21503.03</v>
      </c>
      <c r="V26" s="81">
        <f t="shared" si="3"/>
        <v>0.44500000000000001</v>
      </c>
    </row>
    <row r="27" spans="1:22" x14ac:dyDescent="0.25">
      <c r="A27" s="18" t="s">
        <v>48</v>
      </c>
      <c r="B27" s="19" t="s">
        <v>57</v>
      </c>
      <c r="C27" s="69">
        <f t="shared" si="0"/>
        <v>26.803238659183723</v>
      </c>
      <c r="D27" s="32">
        <v>12568.53</v>
      </c>
      <c r="E27" s="32">
        <v>12796.1</v>
      </c>
      <c r="F27" s="32">
        <v>5627.02</v>
      </c>
      <c r="G27" s="32">
        <v>9740.4</v>
      </c>
      <c r="H27" s="32">
        <v>4113.38</v>
      </c>
      <c r="I27" s="81">
        <f t="shared" si="1"/>
        <v>0.42199999999999999</v>
      </c>
      <c r="J27" s="32">
        <v>5302.9</v>
      </c>
      <c r="K27" s="32">
        <v>-4878.08</v>
      </c>
      <c r="L27" s="32">
        <v>1840.3</v>
      </c>
      <c r="M27" s="32">
        <v>3308.86</v>
      </c>
      <c r="N27" s="32">
        <v>1468.56</v>
      </c>
      <c r="O27" s="81">
        <f t="shared" si="2"/>
        <v>0.44400000000000001</v>
      </c>
      <c r="P27" s="32">
        <v>9740</v>
      </c>
      <c r="Q27" s="32">
        <v>11999.04</v>
      </c>
      <c r="R27" s="32">
        <v>12479.75</v>
      </c>
      <c r="S27" s="32">
        <v>2159.79</v>
      </c>
      <c r="T27" s="32">
        <v>4118.5</v>
      </c>
      <c r="U27" s="32">
        <v>1958.71</v>
      </c>
      <c r="V27" s="81">
        <f t="shared" si="3"/>
        <v>0.47599999999999998</v>
      </c>
    </row>
    <row r="28" spans="1:22" x14ac:dyDescent="0.25">
      <c r="A28" s="18" t="s">
        <v>49</v>
      </c>
      <c r="B28" s="19" t="s">
        <v>57</v>
      </c>
      <c r="C28" s="69">
        <f t="shared" si="0"/>
        <v>0</v>
      </c>
      <c r="D28" s="32">
        <v>0</v>
      </c>
      <c r="E28" s="32">
        <v>-209.98</v>
      </c>
      <c r="F28" s="32">
        <v>0</v>
      </c>
      <c r="G28" s="32">
        <v>0</v>
      </c>
      <c r="H28" s="32">
        <v>0</v>
      </c>
      <c r="I28" s="81">
        <f t="shared" si="1"/>
        <v>0</v>
      </c>
      <c r="J28" s="32">
        <v>835.75</v>
      </c>
      <c r="K28" s="32">
        <v>693.09</v>
      </c>
      <c r="L28" s="32">
        <v>0</v>
      </c>
      <c r="M28" s="32">
        <v>0</v>
      </c>
      <c r="N28" s="32">
        <v>0</v>
      </c>
      <c r="O28" s="81">
        <f t="shared" si="2"/>
        <v>0</v>
      </c>
      <c r="P28" s="32">
        <v>0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81">
        <f t="shared" si="3"/>
        <v>0</v>
      </c>
    </row>
    <row r="29" spans="1:22" x14ac:dyDescent="0.25">
      <c r="A29" s="20" t="s">
        <v>46</v>
      </c>
      <c r="B29" s="21" t="s">
        <v>58</v>
      </c>
      <c r="C29" s="70">
        <f t="shared" si="0"/>
        <v>3.1290334806975015</v>
      </c>
      <c r="D29" s="33">
        <v>13071.48</v>
      </c>
      <c r="E29" s="33">
        <v>51278.74</v>
      </c>
      <c r="F29" s="33">
        <v>50129.78</v>
      </c>
      <c r="G29" s="33">
        <v>68418.94</v>
      </c>
      <c r="H29" s="33">
        <v>18289.16</v>
      </c>
      <c r="I29" s="82">
        <f t="shared" si="1"/>
        <v>0.26700000000000002</v>
      </c>
      <c r="J29" s="33">
        <v>12774.78</v>
      </c>
      <c r="K29" s="33">
        <v>43092.57</v>
      </c>
      <c r="L29" s="33">
        <v>42288.13</v>
      </c>
      <c r="M29" s="33">
        <v>60014.71</v>
      </c>
      <c r="N29" s="33">
        <v>17726.580000000002</v>
      </c>
      <c r="O29" s="82">
        <f t="shared" si="2"/>
        <v>0.29499999999999998</v>
      </c>
      <c r="P29" s="33">
        <v>68418</v>
      </c>
      <c r="Q29" s="33">
        <v>8799.99</v>
      </c>
      <c r="R29" s="33">
        <v>36206.620000000003</v>
      </c>
      <c r="S29" s="33">
        <v>35623.800000000003</v>
      </c>
      <c r="T29" s="33">
        <v>48679.27</v>
      </c>
      <c r="U29" s="33">
        <v>13055.47</v>
      </c>
      <c r="V29" s="82">
        <f t="shared" si="3"/>
        <v>0.26800000000000002</v>
      </c>
    </row>
    <row r="30" spans="1:22" x14ac:dyDescent="0.25">
      <c r="A30" s="20" t="s">
        <v>48</v>
      </c>
      <c r="B30" s="21" t="s">
        <v>58</v>
      </c>
      <c r="C30" s="70">
        <f t="shared" si="0"/>
        <v>2.290527983489985</v>
      </c>
      <c r="D30" s="33">
        <v>73000.86</v>
      </c>
      <c r="E30" s="33">
        <v>383954.55</v>
      </c>
      <c r="F30" s="33">
        <v>382449.08</v>
      </c>
      <c r="G30" s="33">
        <v>486658.99</v>
      </c>
      <c r="H30" s="33">
        <v>104209.91</v>
      </c>
      <c r="I30" s="82">
        <f t="shared" si="1"/>
        <v>0.214</v>
      </c>
      <c r="J30" s="33">
        <v>74930.3</v>
      </c>
      <c r="K30" s="33">
        <v>426455.32</v>
      </c>
      <c r="L30" s="33">
        <v>435700.31</v>
      </c>
      <c r="M30" s="33">
        <v>566789.35</v>
      </c>
      <c r="N30" s="33">
        <v>131089.04</v>
      </c>
      <c r="O30" s="82">
        <f t="shared" si="2"/>
        <v>0.23100000000000001</v>
      </c>
      <c r="P30" s="33">
        <v>486658</v>
      </c>
      <c r="Q30" s="33">
        <v>55670</v>
      </c>
      <c r="R30" s="33">
        <v>490792.51</v>
      </c>
      <c r="S30" s="33">
        <v>468723.43</v>
      </c>
      <c r="T30" s="33">
        <v>611998.71</v>
      </c>
      <c r="U30" s="33">
        <v>143275.28</v>
      </c>
      <c r="V30" s="82">
        <f t="shared" si="3"/>
        <v>0.23400000000000001</v>
      </c>
    </row>
    <row r="31" spans="1:22" ht="15.75" thickBot="1" x14ac:dyDescent="0.3">
      <c r="A31" s="30" t="s">
        <v>49</v>
      </c>
      <c r="B31" s="64" t="s">
        <v>58</v>
      </c>
      <c r="C31" s="66">
        <f t="shared" si="0"/>
        <v>0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  <c r="I31" s="88">
        <f t="shared" si="1"/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88">
        <f t="shared" si="2"/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88">
        <f t="shared" si="3"/>
        <v>0</v>
      </c>
    </row>
    <row r="32" spans="1:22" s="3" customFormat="1" ht="15.75" thickBot="1" x14ac:dyDescent="0.3">
      <c r="A32" s="2"/>
      <c r="B32" s="87" t="s">
        <v>59</v>
      </c>
      <c r="C32" s="89">
        <f t="shared" si="0"/>
        <v>3.5023832915608617</v>
      </c>
      <c r="D32" s="6">
        <f>SUM(D2:D31)</f>
        <v>468844.47000000003</v>
      </c>
      <c r="E32" s="6">
        <f>SUM(E2:E31)</f>
        <v>1719625.5000000002</v>
      </c>
      <c r="F32" s="6">
        <f>SUM(F2:F31)</f>
        <v>1606372.9100000001</v>
      </c>
      <c r="G32" s="6">
        <f>SUM(G2:G31)</f>
        <v>2255485.9900000002</v>
      </c>
      <c r="H32" s="63">
        <f>SUM(H2:H31)</f>
        <v>649113.08000000019</v>
      </c>
      <c r="I32" s="90">
        <f t="shared" si="1"/>
        <v>0.28799999999999998</v>
      </c>
      <c r="J32" s="63">
        <f t="shared" ref="J32:U32" si="4">SUM(J2:J31)</f>
        <v>455713.12000000005</v>
      </c>
      <c r="K32" s="63">
        <f t="shared" si="4"/>
        <v>1758320.6</v>
      </c>
      <c r="L32" s="63">
        <f t="shared" si="4"/>
        <v>1760134.6500000004</v>
      </c>
      <c r="M32" s="63">
        <f t="shared" si="4"/>
        <v>2495028.09</v>
      </c>
      <c r="N32" s="63">
        <f t="shared" si="4"/>
        <v>734893.44000000006</v>
      </c>
      <c r="O32" s="90">
        <f t="shared" si="2"/>
        <v>0.29499999999999998</v>
      </c>
      <c r="P32" s="63">
        <f t="shared" si="4"/>
        <v>2255498</v>
      </c>
      <c r="Q32" s="63">
        <f t="shared" si="4"/>
        <v>350887.11999999994</v>
      </c>
      <c r="R32" s="63">
        <f t="shared" si="4"/>
        <v>1724993.24</v>
      </c>
      <c r="S32" s="63">
        <f t="shared" si="4"/>
        <v>1757919.63</v>
      </c>
      <c r="T32" s="63">
        <f t="shared" si="4"/>
        <v>2490453.0300000003</v>
      </c>
      <c r="U32" s="63">
        <f t="shared" si="4"/>
        <v>732533.4</v>
      </c>
      <c r="V32" s="90">
        <f t="shared" si="3"/>
        <v>0.29399999999999998</v>
      </c>
    </row>
  </sheetData>
  <pageMargins left="0.7" right="0.7" top="0.75" bottom="0.75" header="0.3" footer="0.3"/>
  <pageSetup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C9693-F097-4E74-BBD3-6A72910C5DA9}">
  <sheetPr>
    <tabColor theme="9" tint="0.79998168889431442"/>
  </sheetPr>
  <dimension ref="A1:V32"/>
  <sheetViews>
    <sheetView zoomScale="90" zoomScaleNormal="90" workbookViewId="0">
      <pane ySplit="1" topLeftCell="A2" activePane="bottomLeft" state="frozen"/>
      <selection pane="bottomLeft" activeCell="B2" sqref="B2"/>
    </sheetView>
  </sheetViews>
  <sheetFormatPr defaultColWidth="9.140625" defaultRowHeight="15" x14ac:dyDescent="0.25"/>
  <cols>
    <col min="1" max="1" width="4.85546875" style="1" customWidth="1"/>
    <col min="2" max="2" width="29.42578125" style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4.28515625" style="1" bestFit="1" customWidth="1"/>
    <col min="9" max="9" width="10.710937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4.28515625" bestFit="1" customWidth="1"/>
    <col min="15" max="15" width="8.710937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4.28515625" bestFit="1" customWidth="1"/>
    <col min="22" max="22" width="8.7109375" style="78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14" t="s">
        <v>46</v>
      </c>
      <c r="B2" s="15" t="s">
        <v>60</v>
      </c>
      <c r="C2" s="68">
        <f>IF(D2=0,0,(D2/(F2/12)))</f>
        <v>1.5413625322035545</v>
      </c>
      <c r="D2" s="79">
        <v>2619.0100000000002</v>
      </c>
      <c r="E2" s="79">
        <v>20963.13</v>
      </c>
      <c r="F2" s="79">
        <v>20389.830000000002</v>
      </c>
      <c r="G2" s="79">
        <v>39163.199999999997</v>
      </c>
      <c r="H2" s="79">
        <v>18773.37</v>
      </c>
      <c r="I2" s="80">
        <f>IF(G2=0,0,ROUND((1 - F2 / G2), 3))</f>
        <v>0.47899999999999998</v>
      </c>
      <c r="J2" s="79">
        <v>2302.56</v>
      </c>
      <c r="K2" s="79">
        <v>19631.78</v>
      </c>
      <c r="L2" s="79">
        <v>19122.669999999998</v>
      </c>
      <c r="M2" s="79">
        <v>37078.61</v>
      </c>
      <c r="N2" s="79">
        <v>17955.939999999999</v>
      </c>
      <c r="O2" s="80">
        <f>IF(M2=0,0,ROUND((1-L2/M2),3))</f>
        <v>0.48399999999999999</v>
      </c>
      <c r="P2" s="79">
        <v>39164</v>
      </c>
      <c r="Q2" s="79">
        <v>1886.01</v>
      </c>
      <c r="R2" s="79">
        <v>22851.64</v>
      </c>
      <c r="S2" s="79">
        <v>22605.83</v>
      </c>
      <c r="T2" s="79">
        <v>39990.019999999997</v>
      </c>
      <c r="U2" s="79">
        <v>17384.189999999999</v>
      </c>
      <c r="V2" s="80">
        <f>IF(T2=0,0,ROUND((1-S2/T2),3))</f>
        <v>0.435</v>
      </c>
    </row>
    <row r="3" spans="1:22" x14ac:dyDescent="0.25">
      <c r="A3" s="16" t="s">
        <v>48</v>
      </c>
      <c r="B3" s="17" t="s">
        <v>60</v>
      </c>
      <c r="C3" s="68">
        <f t="shared" ref="C3:C32" si="0">IF(D3=0,0,(D3/(F3/12)))</f>
        <v>15.360309061498262</v>
      </c>
      <c r="D3" s="79">
        <v>6480.86</v>
      </c>
      <c r="E3" s="79">
        <v>4164.9799999999996</v>
      </c>
      <c r="F3" s="79">
        <v>5063.07</v>
      </c>
      <c r="G3" s="79">
        <v>11347.65</v>
      </c>
      <c r="H3" s="79">
        <v>6284.58</v>
      </c>
      <c r="I3" s="80">
        <f t="shared" ref="I3:I32" si="1">IF(G3=0,0,ROUND((1 - F3 / G3), 3))</f>
        <v>0.55400000000000005</v>
      </c>
      <c r="J3" s="79">
        <v>7481.5</v>
      </c>
      <c r="K3" s="79">
        <v>6029.18</v>
      </c>
      <c r="L3" s="79">
        <v>6112</v>
      </c>
      <c r="M3" s="79">
        <v>12723.5</v>
      </c>
      <c r="N3" s="79">
        <v>6611.5</v>
      </c>
      <c r="O3" s="80">
        <f t="shared" ref="O3:O32" si="2">IF(M3=0,0,ROUND((1-L3/M3),3))</f>
        <v>0.52</v>
      </c>
      <c r="P3" s="79">
        <v>11347</v>
      </c>
      <c r="Q3" s="79">
        <v>7758.7</v>
      </c>
      <c r="R3" s="79">
        <v>-7852.08</v>
      </c>
      <c r="S3" s="79">
        <v>5893.52</v>
      </c>
      <c r="T3" s="79">
        <v>11693.92</v>
      </c>
      <c r="U3" s="79">
        <v>5800.4</v>
      </c>
      <c r="V3" s="80">
        <f t="shared" ref="V3:V32" si="3">IF(T3=0,0,ROUND((1-S3/T3),3))</f>
        <v>0.496</v>
      </c>
    </row>
    <row r="4" spans="1:22" x14ac:dyDescent="0.25">
      <c r="A4" s="16" t="s">
        <v>49</v>
      </c>
      <c r="B4" s="17" t="s">
        <v>60</v>
      </c>
      <c r="C4" s="68">
        <f t="shared" si="0"/>
        <v>0</v>
      </c>
      <c r="D4" s="79">
        <v>0</v>
      </c>
      <c r="E4" s="79">
        <v>0</v>
      </c>
      <c r="F4" s="79">
        <v>0</v>
      </c>
      <c r="G4" s="79">
        <v>0</v>
      </c>
      <c r="H4" s="79">
        <v>0</v>
      </c>
      <c r="I4" s="80">
        <f t="shared" si="1"/>
        <v>0</v>
      </c>
      <c r="J4" s="79">
        <v>0</v>
      </c>
      <c r="K4" s="79">
        <v>0</v>
      </c>
      <c r="L4" s="79">
        <v>0</v>
      </c>
      <c r="M4" s="79">
        <v>0</v>
      </c>
      <c r="N4" s="79">
        <v>0</v>
      </c>
      <c r="O4" s="80">
        <f t="shared" si="2"/>
        <v>0</v>
      </c>
      <c r="P4" s="79">
        <v>0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f t="shared" si="3"/>
        <v>0</v>
      </c>
    </row>
    <row r="5" spans="1:22" x14ac:dyDescent="0.25">
      <c r="A5" s="18" t="s">
        <v>46</v>
      </c>
      <c r="B5" s="19" t="s">
        <v>61</v>
      </c>
      <c r="C5" s="69">
        <f t="shared" si="0"/>
        <v>1.4626581094764275</v>
      </c>
      <c r="D5" s="32">
        <v>42602.51</v>
      </c>
      <c r="E5" s="32">
        <v>353073.76</v>
      </c>
      <c r="F5" s="32">
        <v>349521.27</v>
      </c>
      <c r="G5" s="32">
        <v>517552.39</v>
      </c>
      <c r="H5" s="32">
        <v>168031.12</v>
      </c>
      <c r="I5" s="81">
        <f t="shared" si="1"/>
        <v>0.32500000000000001</v>
      </c>
      <c r="J5" s="32">
        <v>40995.379999999997</v>
      </c>
      <c r="K5" s="32">
        <v>309737.57</v>
      </c>
      <c r="L5" s="32">
        <v>305320.06</v>
      </c>
      <c r="M5" s="32">
        <v>421508.73</v>
      </c>
      <c r="N5" s="32">
        <v>116188.67</v>
      </c>
      <c r="O5" s="81">
        <f t="shared" si="2"/>
        <v>0.27600000000000002</v>
      </c>
      <c r="P5" s="32">
        <v>517553</v>
      </c>
      <c r="Q5" s="32">
        <v>19253.61</v>
      </c>
      <c r="R5" s="32">
        <v>363652.04</v>
      </c>
      <c r="S5" s="32">
        <v>367342.16</v>
      </c>
      <c r="T5" s="32">
        <v>497255.96</v>
      </c>
      <c r="U5" s="32">
        <v>129913.8</v>
      </c>
      <c r="V5" s="81">
        <f t="shared" si="3"/>
        <v>0.26100000000000001</v>
      </c>
    </row>
    <row r="6" spans="1:22" x14ac:dyDescent="0.25">
      <c r="A6" s="18" t="s">
        <v>48</v>
      </c>
      <c r="B6" s="19" t="s">
        <v>61</v>
      </c>
      <c r="C6" s="69">
        <f t="shared" si="0"/>
        <v>3.2616024199629514</v>
      </c>
      <c r="D6" s="32">
        <v>96337.35</v>
      </c>
      <c r="E6" s="32">
        <v>307733.28000000003</v>
      </c>
      <c r="F6" s="32">
        <v>354441.79</v>
      </c>
      <c r="G6" s="32">
        <v>476255.37</v>
      </c>
      <c r="H6" s="32">
        <v>121813.58</v>
      </c>
      <c r="I6" s="81">
        <f t="shared" si="1"/>
        <v>0.25600000000000001</v>
      </c>
      <c r="J6" s="32">
        <v>149960.95999999999</v>
      </c>
      <c r="K6" s="32">
        <v>442704.75</v>
      </c>
      <c r="L6" s="32">
        <v>443571.83</v>
      </c>
      <c r="M6" s="32">
        <v>577407.80000000005</v>
      </c>
      <c r="N6" s="32">
        <v>133835.97</v>
      </c>
      <c r="O6" s="81">
        <f t="shared" si="2"/>
        <v>0.23200000000000001</v>
      </c>
      <c r="P6" s="32">
        <v>476256</v>
      </c>
      <c r="Q6" s="32">
        <v>75749.2</v>
      </c>
      <c r="R6" s="32">
        <v>428377.31</v>
      </c>
      <c r="S6" s="32">
        <v>373547.95</v>
      </c>
      <c r="T6" s="32">
        <v>492328.02</v>
      </c>
      <c r="U6" s="32">
        <v>118780.07</v>
      </c>
      <c r="V6" s="81">
        <f t="shared" si="3"/>
        <v>0.24099999999999999</v>
      </c>
    </row>
    <row r="7" spans="1:22" x14ac:dyDescent="0.25">
      <c r="A7" s="18" t="s">
        <v>49</v>
      </c>
      <c r="B7" s="19" t="s">
        <v>61</v>
      </c>
      <c r="C7" s="69">
        <f t="shared" si="0"/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f t="shared" si="1"/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81">
        <f t="shared" si="2"/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f t="shared" si="3"/>
        <v>0</v>
      </c>
    </row>
    <row r="8" spans="1:22" x14ac:dyDescent="0.25">
      <c r="A8" s="20" t="s">
        <v>46</v>
      </c>
      <c r="B8" s="21" t="s">
        <v>62</v>
      </c>
      <c r="C8" s="70">
        <f t="shared" si="0"/>
        <v>0.92974847426974327</v>
      </c>
      <c r="D8" s="33">
        <v>9466.2000000000007</v>
      </c>
      <c r="E8" s="33">
        <v>123203.24</v>
      </c>
      <c r="F8" s="33">
        <v>122177.56</v>
      </c>
      <c r="G8" s="33">
        <v>224083.29</v>
      </c>
      <c r="H8" s="33">
        <v>101905.73</v>
      </c>
      <c r="I8" s="82">
        <f t="shared" si="1"/>
        <v>0.45500000000000002</v>
      </c>
      <c r="J8" s="33">
        <v>9012.52</v>
      </c>
      <c r="K8" s="33">
        <v>67462.95</v>
      </c>
      <c r="L8" s="33">
        <v>71547.45</v>
      </c>
      <c r="M8" s="33">
        <v>118441.7</v>
      </c>
      <c r="N8" s="33">
        <v>46894.25</v>
      </c>
      <c r="O8" s="82">
        <f t="shared" si="2"/>
        <v>0.39600000000000002</v>
      </c>
      <c r="P8" s="33">
        <v>224083</v>
      </c>
      <c r="Q8" s="33">
        <v>4728.49</v>
      </c>
      <c r="R8" s="33">
        <v>108588.91</v>
      </c>
      <c r="S8" s="33">
        <v>109306.7</v>
      </c>
      <c r="T8" s="33">
        <v>169548.62</v>
      </c>
      <c r="U8" s="33">
        <v>60241.919999999998</v>
      </c>
      <c r="V8" s="82">
        <f t="shared" si="3"/>
        <v>0.35499999999999998</v>
      </c>
    </row>
    <row r="9" spans="1:22" x14ac:dyDescent="0.25">
      <c r="A9" s="20" t="s">
        <v>48</v>
      </c>
      <c r="B9" s="21" t="s">
        <v>62</v>
      </c>
      <c r="C9" s="70">
        <f t="shared" si="0"/>
        <v>6.4191100401129894E-2</v>
      </c>
      <c r="D9" s="33">
        <v>331.8</v>
      </c>
      <c r="E9" s="33">
        <v>61908.82</v>
      </c>
      <c r="F9" s="33">
        <v>62027.29</v>
      </c>
      <c r="G9" s="33">
        <v>84612.15</v>
      </c>
      <c r="H9" s="33">
        <v>22584.86</v>
      </c>
      <c r="I9" s="82">
        <f t="shared" si="1"/>
        <v>0.26700000000000002</v>
      </c>
      <c r="J9" s="33">
        <v>579.32000000000005</v>
      </c>
      <c r="K9" s="33">
        <v>131023.55</v>
      </c>
      <c r="L9" s="33">
        <v>163612.23000000001</v>
      </c>
      <c r="M9" s="33">
        <v>209130.55</v>
      </c>
      <c r="N9" s="33">
        <v>45518.32</v>
      </c>
      <c r="O9" s="82">
        <f t="shared" si="2"/>
        <v>0.218</v>
      </c>
      <c r="P9" s="33">
        <v>84612</v>
      </c>
      <c r="Q9" s="33">
        <v>29034.78</v>
      </c>
      <c r="R9" s="33">
        <v>173961.57</v>
      </c>
      <c r="S9" s="33">
        <v>153233.54999999999</v>
      </c>
      <c r="T9" s="33">
        <v>204027.15</v>
      </c>
      <c r="U9" s="33">
        <v>50793.599999999999</v>
      </c>
      <c r="V9" s="82">
        <f t="shared" si="3"/>
        <v>0.249</v>
      </c>
    </row>
    <row r="10" spans="1:22" x14ac:dyDescent="0.25">
      <c r="A10" s="20" t="s">
        <v>49</v>
      </c>
      <c r="B10" s="21" t="s">
        <v>62</v>
      </c>
      <c r="C10" s="70">
        <f t="shared" si="0"/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f t="shared" si="1"/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f t="shared" si="2"/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f t="shared" si="3"/>
        <v>0</v>
      </c>
    </row>
    <row r="11" spans="1:22" x14ac:dyDescent="0.25">
      <c r="A11" s="22" t="s">
        <v>46</v>
      </c>
      <c r="B11" s="23" t="s">
        <v>63</v>
      </c>
      <c r="C11" s="71">
        <f t="shared" si="0"/>
        <v>1.1253625411612853</v>
      </c>
      <c r="D11" s="34">
        <v>33654.22</v>
      </c>
      <c r="E11" s="34">
        <v>366134.82</v>
      </c>
      <c r="F11" s="34">
        <v>358862.7</v>
      </c>
      <c r="G11" s="34">
        <v>559413.57999999996</v>
      </c>
      <c r="H11" s="34">
        <v>200550.88</v>
      </c>
      <c r="I11" s="83">
        <f t="shared" si="1"/>
        <v>0.35899999999999999</v>
      </c>
      <c r="J11" s="34">
        <v>31876.41</v>
      </c>
      <c r="K11" s="34">
        <v>305332.74</v>
      </c>
      <c r="L11" s="34">
        <v>304456.57</v>
      </c>
      <c r="M11" s="34">
        <v>432879.64</v>
      </c>
      <c r="N11" s="34">
        <v>128423.07</v>
      </c>
      <c r="O11" s="83">
        <f t="shared" si="2"/>
        <v>0.29699999999999999</v>
      </c>
      <c r="P11" s="34">
        <v>559413</v>
      </c>
      <c r="Q11" s="34">
        <v>29409.08</v>
      </c>
      <c r="R11" s="34">
        <v>367218.79</v>
      </c>
      <c r="S11" s="34">
        <v>372784.69</v>
      </c>
      <c r="T11" s="34">
        <v>527242.68000000005</v>
      </c>
      <c r="U11" s="34">
        <v>154457.99</v>
      </c>
      <c r="V11" s="83">
        <f t="shared" si="3"/>
        <v>0.29299999999999998</v>
      </c>
    </row>
    <row r="12" spans="1:22" x14ac:dyDescent="0.25">
      <c r="A12" s="22" t="s">
        <v>48</v>
      </c>
      <c r="B12" s="23" t="s">
        <v>63</v>
      </c>
      <c r="C12" s="71">
        <f t="shared" si="0"/>
        <v>1.9813385437823077</v>
      </c>
      <c r="D12" s="34">
        <v>59451.09</v>
      </c>
      <c r="E12" s="34">
        <v>359173.93</v>
      </c>
      <c r="F12" s="34">
        <v>360066.22</v>
      </c>
      <c r="G12" s="34">
        <v>480639.78</v>
      </c>
      <c r="H12" s="34">
        <v>120573.56</v>
      </c>
      <c r="I12" s="83">
        <f t="shared" si="1"/>
        <v>0.251</v>
      </c>
      <c r="J12" s="34">
        <v>74171.39</v>
      </c>
      <c r="K12" s="34">
        <v>380708.02</v>
      </c>
      <c r="L12" s="34">
        <v>392583.78</v>
      </c>
      <c r="M12" s="34">
        <v>507518.71999999997</v>
      </c>
      <c r="N12" s="34">
        <v>114934.94</v>
      </c>
      <c r="O12" s="83">
        <f t="shared" si="2"/>
        <v>0.22600000000000001</v>
      </c>
      <c r="P12" s="34">
        <v>480639</v>
      </c>
      <c r="Q12" s="34">
        <v>80297</v>
      </c>
      <c r="R12" s="34">
        <v>343271.31</v>
      </c>
      <c r="S12" s="34">
        <v>363967.73</v>
      </c>
      <c r="T12" s="34">
        <v>488941.98</v>
      </c>
      <c r="U12" s="34">
        <v>124974.25</v>
      </c>
      <c r="V12" s="83">
        <f t="shared" si="3"/>
        <v>0.25600000000000001</v>
      </c>
    </row>
    <row r="13" spans="1:22" x14ac:dyDescent="0.25">
      <c r="A13" s="22" t="s">
        <v>49</v>
      </c>
      <c r="B13" s="23" t="s">
        <v>63</v>
      </c>
      <c r="C13" s="71">
        <f t="shared" si="0"/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83">
        <f t="shared" si="1"/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83">
        <f t="shared" si="2"/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f t="shared" si="3"/>
        <v>0</v>
      </c>
    </row>
    <row r="14" spans="1:22" x14ac:dyDescent="0.25">
      <c r="A14" s="24" t="s">
        <v>46</v>
      </c>
      <c r="B14" s="25" t="s">
        <v>64</v>
      </c>
      <c r="C14" s="72">
        <f t="shared" si="0"/>
        <v>2.1394505187036073</v>
      </c>
      <c r="D14" s="35">
        <v>12724.94</v>
      </c>
      <c r="E14" s="35">
        <v>72273.41</v>
      </c>
      <c r="F14" s="35">
        <v>71373.13</v>
      </c>
      <c r="G14" s="35">
        <v>120794.45</v>
      </c>
      <c r="H14" s="35">
        <v>49421.32</v>
      </c>
      <c r="I14" s="84">
        <f t="shared" si="1"/>
        <v>0.40899999999999997</v>
      </c>
      <c r="J14" s="35">
        <v>11256.89</v>
      </c>
      <c r="K14" s="35">
        <v>65918.179999999993</v>
      </c>
      <c r="L14" s="35">
        <v>63455.57</v>
      </c>
      <c r="M14" s="35">
        <v>101584.7</v>
      </c>
      <c r="N14" s="35">
        <v>38129.129999999997</v>
      </c>
      <c r="O14" s="84">
        <f t="shared" si="2"/>
        <v>0.375</v>
      </c>
      <c r="P14" s="35">
        <v>120798</v>
      </c>
      <c r="Q14" s="35">
        <v>8544.6</v>
      </c>
      <c r="R14" s="35">
        <v>58218.26</v>
      </c>
      <c r="S14" s="35">
        <v>60759.7</v>
      </c>
      <c r="T14" s="35">
        <v>97366.47</v>
      </c>
      <c r="U14" s="35">
        <v>36606.769999999997</v>
      </c>
      <c r="V14" s="84">
        <f t="shared" si="3"/>
        <v>0.376</v>
      </c>
    </row>
    <row r="15" spans="1:22" x14ac:dyDescent="0.25">
      <c r="A15" s="24" t="s">
        <v>48</v>
      </c>
      <c r="B15" s="25" t="s">
        <v>64</v>
      </c>
      <c r="C15" s="72">
        <f t="shared" si="0"/>
        <v>2.5724183272547405</v>
      </c>
      <c r="D15" s="35">
        <v>29400.75</v>
      </c>
      <c r="E15" s="35">
        <v>138372.32</v>
      </c>
      <c r="F15" s="35">
        <v>137150.71</v>
      </c>
      <c r="G15" s="35">
        <v>222214</v>
      </c>
      <c r="H15" s="35">
        <v>85063.29</v>
      </c>
      <c r="I15" s="84">
        <f t="shared" si="1"/>
        <v>0.38300000000000001</v>
      </c>
      <c r="J15" s="35">
        <v>26700.65</v>
      </c>
      <c r="K15" s="35">
        <v>133729.07999999999</v>
      </c>
      <c r="L15" s="35">
        <v>145743.82999999999</v>
      </c>
      <c r="M15" s="35">
        <v>230138.2</v>
      </c>
      <c r="N15" s="35">
        <v>84394.37</v>
      </c>
      <c r="O15" s="84">
        <f t="shared" si="2"/>
        <v>0.36699999999999999</v>
      </c>
      <c r="P15" s="35">
        <v>222215</v>
      </c>
      <c r="Q15" s="35">
        <v>39523.839999999997</v>
      </c>
      <c r="R15" s="35">
        <v>185378.58</v>
      </c>
      <c r="S15" s="35">
        <v>190193.61</v>
      </c>
      <c r="T15" s="35">
        <v>298053.37</v>
      </c>
      <c r="U15" s="35">
        <v>107859.76</v>
      </c>
      <c r="V15" s="84">
        <f t="shared" si="3"/>
        <v>0.36199999999999999</v>
      </c>
    </row>
    <row r="16" spans="1:22" x14ac:dyDescent="0.25">
      <c r="A16" s="24" t="s">
        <v>49</v>
      </c>
      <c r="B16" s="25" t="s">
        <v>64</v>
      </c>
      <c r="C16" s="72">
        <f t="shared" si="0"/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f t="shared" si="1"/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f t="shared" si="2"/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f t="shared" si="3"/>
        <v>0</v>
      </c>
    </row>
    <row r="17" spans="1:22" x14ac:dyDescent="0.25">
      <c r="A17" s="26" t="s">
        <v>46</v>
      </c>
      <c r="B17" s="27" t="s">
        <v>65</v>
      </c>
      <c r="C17" s="73">
        <f t="shared" si="0"/>
        <v>3.3721269864668808</v>
      </c>
      <c r="D17" s="36">
        <v>17003.97</v>
      </c>
      <c r="E17" s="36">
        <v>61541.26</v>
      </c>
      <c r="F17" s="36">
        <v>60510.07</v>
      </c>
      <c r="G17" s="36">
        <v>113863.55</v>
      </c>
      <c r="H17" s="36">
        <v>53353.48</v>
      </c>
      <c r="I17" s="85">
        <f t="shared" si="1"/>
        <v>0.46899999999999997</v>
      </c>
      <c r="J17" s="36">
        <v>18124.47</v>
      </c>
      <c r="K17" s="36">
        <v>66229.62</v>
      </c>
      <c r="L17" s="36">
        <v>72053.37</v>
      </c>
      <c r="M17" s="36">
        <v>129373.25</v>
      </c>
      <c r="N17" s="36">
        <v>57319.88</v>
      </c>
      <c r="O17" s="85">
        <f t="shared" si="2"/>
        <v>0.443</v>
      </c>
      <c r="P17" s="36">
        <v>113865</v>
      </c>
      <c r="Q17" s="36">
        <v>22190.18</v>
      </c>
      <c r="R17" s="36">
        <v>60672.61</v>
      </c>
      <c r="S17" s="36">
        <v>75107.44</v>
      </c>
      <c r="T17" s="36">
        <v>131513.26</v>
      </c>
      <c r="U17" s="36">
        <v>56405.82</v>
      </c>
      <c r="V17" s="85">
        <f t="shared" si="3"/>
        <v>0.42899999999999999</v>
      </c>
    </row>
    <row r="18" spans="1:22" x14ac:dyDescent="0.25">
      <c r="A18" s="26" t="s">
        <v>48</v>
      </c>
      <c r="B18" s="27" t="s">
        <v>65</v>
      </c>
      <c r="C18" s="73">
        <f t="shared" si="0"/>
        <v>9.8054292945270483</v>
      </c>
      <c r="D18" s="36">
        <v>51658.27</v>
      </c>
      <c r="E18" s="36">
        <v>77416.61</v>
      </c>
      <c r="F18" s="36">
        <v>63220</v>
      </c>
      <c r="G18" s="36">
        <v>95814.86</v>
      </c>
      <c r="H18" s="36">
        <v>32594.86</v>
      </c>
      <c r="I18" s="85">
        <f t="shared" si="1"/>
        <v>0.34</v>
      </c>
      <c r="J18" s="36">
        <v>55898.61</v>
      </c>
      <c r="K18" s="36">
        <v>34134.400000000001</v>
      </c>
      <c r="L18" s="36">
        <v>67637.58</v>
      </c>
      <c r="M18" s="36">
        <v>104522.34</v>
      </c>
      <c r="N18" s="36">
        <v>36884.76</v>
      </c>
      <c r="O18" s="85">
        <f t="shared" si="2"/>
        <v>0.35299999999999998</v>
      </c>
      <c r="P18" s="36">
        <v>95814</v>
      </c>
      <c r="Q18" s="36">
        <v>62167.58</v>
      </c>
      <c r="R18" s="36">
        <v>144238.43</v>
      </c>
      <c r="S18" s="36">
        <v>122263.7</v>
      </c>
      <c r="T18" s="36">
        <v>175727.97</v>
      </c>
      <c r="U18" s="36">
        <v>53464.27</v>
      </c>
      <c r="V18" s="85">
        <f t="shared" si="3"/>
        <v>0.30399999999999999</v>
      </c>
    </row>
    <row r="19" spans="1:22" x14ac:dyDescent="0.25">
      <c r="A19" s="26" t="s">
        <v>49</v>
      </c>
      <c r="B19" s="27" t="s">
        <v>65</v>
      </c>
      <c r="C19" s="73">
        <f t="shared" si="0"/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f t="shared" si="1"/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85">
        <f t="shared" si="2"/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f t="shared" si="3"/>
        <v>0</v>
      </c>
    </row>
    <row r="20" spans="1:22" x14ac:dyDescent="0.25">
      <c r="A20" s="28" t="s">
        <v>46</v>
      </c>
      <c r="B20" s="29" t="s">
        <v>66</v>
      </c>
      <c r="C20" s="74">
        <f t="shared" si="0"/>
        <v>1.1525001501379231</v>
      </c>
      <c r="D20" s="37">
        <v>28034.400000000001</v>
      </c>
      <c r="E20" s="37">
        <v>305683.40000000002</v>
      </c>
      <c r="F20" s="37">
        <v>291898.27</v>
      </c>
      <c r="G20" s="37">
        <v>476962.73</v>
      </c>
      <c r="H20" s="37">
        <v>185064.46</v>
      </c>
      <c r="I20" s="86">
        <f t="shared" si="1"/>
        <v>0.38800000000000001</v>
      </c>
      <c r="J20" s="37">
        <v>19030.59</v>
      </c>
      <c r="K20" s="37">
        <v>321765.90999999997</v>
      </c>
      <c r="L20" s="37">
        <v>326014.90999999997</v>
      </c>
      <c r="M20" s="37">
        <v>513758.51</v>
      </c>
      <c r="N20" s="37">
        <v>187743.6</v>
      </c>
      <c r="O20" s="86">
        <f t="shared" si="2"/>
        <v>0.36499999999999999</v>
      </c>
      <c r="P20" s="37">
        <v>476969</v>
      </c>
      <c r="Q20" s="37">
        <v>25375.759999999998</v>
      </c>
      <c r="R20" s="37">
        <v>292863.02</v>
      </c>
      <c r="S20" s="37">
        <v>303917.14</v>
      </c>
      <c r="T20" s="37">
        <v>479885.15</v>
      </c>
      <c r="U20" s="37">
        <v>175968.01</v>
      </c>
      <c r="V20" s="86">
        <f t="shared" si="3"/>
        <v>0.36699999999999999</v>
      </c>
    </row>
    <row r="21" spans="1:22" x14ac:dyDescent="0.25">
      <c r="A21" s="28" t="s">
        <v>48</v>
      </c>
      <c r="B21" s="29" t="s">
        <v>66</v>
      </c>
      <c r="C21" s="74">
        <f t="shared" si="0"/>
        <v>1.5506540367143968</v>
      </c>
      <c r="D21" s="37">
        <v>59458.06</v>
      </c>
      <c r="E21" s="37">
        <v>438290.3</v>
      </c>
      <c r="F21" s="37">
        <v>460126.31</v>
      </c>
      <c r="G21" s="37">
        <v>676165.26</v>
      </c>
      <c r="H21" s="37">
        <v>216038.95</v>
      </c>
      <c r="I21" s="86">
        <f t="shared" si="1"/>
        <v>0.32</v>
      </c>
      <c r="J21" s="37">
        <v>84300.87</v>
      </c>
      <c r="K21" s="37">
        <v>480340.43</v>
      </c>
      <c r="L21" s="37">
        <v>477232.3</v>
      </c>
      <c r="M21" s="37">
        <v>696493.07</v>
      </c>
      <c r="N21" s="37">
        <v>219260.77</v>
      </c>
      <c r="O21" s="86">
        <f t="shared" si="2"/>
        <v>0.315</v>
      </c>
      <c r="P21" s="37">
        <v>676167</v>
      </c>
      <c r="Q21" s="37">
        <v>85163</v>
      </c>
      <c r="R21" s="37">
        <v>503352.46</v>
      </c>
      <c r="S21" s="37">
        <v>467152.37</v>
      </c>
      <c r="T21" s="37">
        <v>688323.18</v>
      </c>
      <c r="U21" s="37">
        <v>221170.81</v>
      </c>
      <c r="V21" s="86">
        <f t="shared" si="3"/>
        <v>0.32100000000000001</v>
      </c>
    </row>
    <row r="22" spans="1:22" x14ac:dyDescent="0.25">
      <c r="A22" s="28" t="s">
        <v>49</v>
      </c>
      <c r="B22" s="29" t="s">
        <v>66</v>
      </c>
      <c r="C22" s="74" t="e">
        <f t="shared" si="0"/>
        <v>#DIV/0!</v>
      </c>
      <c r="D22" s="37">
        <v>183.66</v>
      </c>
      <c r="E22" s="37">
        <v>0</v>
      </c>
      <c r="F22" s="37">
        <v>0</v>
      </c>
      <c r="G22" s="37">
        <v>0</v>
      </c>
      <c r="H22" s="37">
        <v>0</v>
      </c>
      <c r="I22" s="86">
        <f t="shared" si="1"/>
        <v>0</v>
      </c>
      <c r="J22" s="37">
        <v>183.66</v>
      </c>
      <c r="K22" s="37">
        <v>57.04</v>
      </c>
      <c r="L22" s="37">
        <v>0</v>
      </c>
      <c r="M22" s="37">
        <v>0</v>
      </c>
      <c r="N22" s="37">
        <v>0</v>
      </c>
      <c r="O22" s="86">
        <f t="shared" si="2"/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f t="shared" si="3"/>
        <v>0</v>
      </c>
    </row>
    <row r="23" spans="1:22" x14ac:dyDescent="0.25">
      <c r="A23" s="16" t="s">
        <v>46</v>
      </c>
      <c r="B23" s="17" t="s">
        <v>67</v>
      </c>
      <c r="C23" s="68">
        <f t="shared" si="0"/>
        <v>0.1866404223106003</v>
      </c>
      <c r="D23" s="79">
        <v>4508.78</v>
      </c>
      <c r="E23" s="79">
        <v>293427.28000000003</v>
      </c>
      <c r="F23" s="79">
        <v>289890.90000000002</v>
      </c>
      <c r="G23" s="79">
        <v>373953.58</v>
      </c>
      <c r="H23" s="79">
        <v>84062.68</v>
      </c>
      <c r="I23" s="80">
        <f t="shared" si="1"/>
        <v>0.22500000000000001</v>
      </c>
      <c r="J23" s="79">
        <v>169.88</v>
      </c>
      <c r="K23" s="79">
        <v>54184.27</v>
      </c>
      <c r="L23" s="79">
        <v>52352.73</v>
      </c>
      <c r="M23" s="79">
        <v>69241.14</v>
      </c>
      <c r="N23" s="79">
        <v>16888.41</v>
      </c>
      <c r="O23" s="80">
        <f t="shared" si="2"/>
        <v>0.24399999999999999</v>
      </c>
      <c r="P23" s="79">
        <v>373970</v>
      </c>
      <c r="Q23" s="79">
        <v>142.19999999999999</v>
      </c>
      <c r="R23" s="79">
        <v>77158</v>
      </c>
      <c r="S23" s="79">
        <v>77750.98</v>
      </c>
      <c r="T23" s="79">
        <v>102502.85</v>
      </c>
      <c r="U23" s="79">
        <v>24751.87</v>
      </c>
      <c r="V23" s="80">
        <f t="shared" si="3"/>
        <v>0.24099999999999999</v>
      </c>
    </row>
    <row r="24" spans="1:22" x14ac:dyDescent="0.25">
      <c r="A24" s="16" t="s">
        <v>48</v>
      </c>
      <c r="B24" s="17" t="s">
        <v>67</v>
      </c>
      <c r="C24" s="68">
        <f t="shared" si="0"/>
        <v>0.17974177758658744</v>
      </c>
      <c r="D24" s="79">
        <v>18521.75</v>
      </c>
      <c r="E24" s="79">
        <v>1232555.05</v>
      </c>
      <c r="F24" s="79">
        <v>1236557.26</v>
      </c>
      <c r="G24" s="79">
        <v>1559713.37</v>
      </c>
      <c r="H24" s="79">
        <v>323156.11</v>
      </c>
      <c r="I24" s="80">
        <f t="shared" si="1"/>
        <v>0.20699999999999999</v>
      </c>
      <c r="J24" s="79">
        <v>35130.129999999997</v>
      </c>
      <c r="K24" s="79">
        <v>1557736.75</v>
      </c>
      <c r="L24" s="79">
        <v>1617587.53</v>
      </c>
      <c r="M24" s="79">
        <v>2029197.41</v>
      </c>
      <c r="N24" s="79">
        <v>411609.88</v>
      </c>
      <c r="O24" s="80">
        <f t="shared" si="2"/>
        <v>0.20300000000000001</v>
      </c>
      <c r="P24" s="79">
        <v>1559791</v>
      </c>
      <c r="Q24" s="79">
        <v>93378.25</v>
      </c>
      <c r="R24" s="79">
        <v>1270572.4099999999</v>
      </c>
      <c r="S24" s="79">
        <v>1217787.1599999999</v>
      </c>
      <c r="T24" s="79">
        <v>1535357.41</v>
      </c>
      <c r="U24" s="79">
        <v>317570.25</v>
      </c>
      <c r="V24" s="80">
        <f t="shared" si="3"/>
        <v>0.20699999999999999</v>
      </c>
    </row>
    <row r="25" spans="1:22" x14ac:dyDescent="0.25">
      <c r="A25" s="16" t="s">
        <v>49</v>
      </c>
      <c r="B25" s="17" t="s">
        <v>67</v>
      </c>
      <c r="C25" s="68">
        <f t="shared" si="0"/>
        <v>0</v>
      </c>
      <c r="D25" s="79">
        <v>0</v>
      </c>
      <c r="E25" s="79">
        <v>0</v>
      </c>
      <c r="F25" s="79">
        <v>0</v>
      </c>
      <c r="G25" s="79">
        <v>0</v>
      </c>
      <c r="H25" s="79">
        <v>0</v>
      </c>
      <c r="I25" s="80">
        <f t="shared" si="1"/>
        <v>0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  <c r="O25" s="80">
        <f t="shared" si="2"/>
        <v>0</v>
      </c>
      <c r="P25" s="79">
        <v>0</v>
      </c>
      <c r="Q25" s="79">
        <v>0</v>
      </c>
      <c r="R25" s="79">
        <v>0</v>
      </c>
      <c r="S25" s="79">
        <v>0</v>
      </c>
      <c r="T25" s="79">
        <v>0</v>
      </c>
      <c r="U25" s="79">
        <v>0</v>
      </c>
      <c r="V25" s="80">
        <f t="shared" si="3"/>
        <v>0</v>
      </c>
    </row>
    <row r="26" spans="1:22" x14ac:dyDescent="0.25">
      <c r="A26" s="18" t="s">
        <v>46</v>
      </c>
      <c r="B26" s="19" t="s">
        <v>68</v>
      </c>
      <c r="C26" s="69" t="e">
        <f t="shared" si="0"/>
        <v>#DIV/0!</v>
      </c>
      <c r="D26" s="32">
        <v>199.81</v>
      </c>
      <c r="E26" s="32">
        <v>199.8</v>
      </c>
      <c r="F26" s="32">
        <v>0</v>
      </c>
      <c r="G26" s="32">
        <v>0</v>
      </c>
      <c r="H26" s="32">
        <v>0</v>
      </c>
      <c r="I26" s="81">
        <f t="shared" si="1"/>
        <v>0</v>
      </c>
      <c r="J26" s="32">
        <v>0</v>
      </c>
      <c r="K26" s="32">
        <v>310.62</v>
      </c>
      <c r="L26" s="32">
        <v>350.91</v>
      </c>
      <c r="M26" s="32">
        <v>630.4</v>
      </c>
      <c r="N26" s="32">
        <v>279.49</v>
      </c>
      <c r="O26" s="81">
        <f t="shared" si="2"/>
        <v>0.443</v>
      </c>
      <c r="P26" s="32">
        <v>0</v>
      </c>
      <c r="Q26" s="32">
        <v>39.700000000000003</v>
      </c>
      <c r="R26" s="32">
        <v>850.13</v>
      </c>
      <c r="S26" s="32">
        <v>849.32</v>
      </c>
      <c r="T26" s="32">
        <v>1190.3599999999999</v>
      </c>
      <c r="U26" s="32">
        <v>341.04</v>
      </c>
      <c r="V26" s="81">
        <f t="shared" si="3"/>
        <v>0.28699999999999998</v>
      </c>
    </row>
    <row r="27" spans="1:22" x14ac:dyDescent="0.25">
      <c r="A27" s="18" t="s">
        <v>48</v>
      </c>
      <c r="B27" s="19" t="s">
        <v>68</v>
      </c>
      <c r="C27" s="69">
        <f t="shared" si="0"/>
        <v>3.3800811347091146</v>
      </c>
      <c r="D27" s="32">
        <v>861.67</v>
      </c>
      <c r="E27" s="32">
        <v>3021.97</v>
      </c>
      <c r="F27" s="32">
        <v>3059.11</v>
      </c>
      <c r="G27" s="32">
        <v>5510.32</v>
      </c>
      <c r="H27" s="32">
        <v>2451.21</v>
      </c>
      <c r="I27" s="81">
        <f t="shared" si="1"/>
        <v>0.44500000000000001</v>
      </c>
      <c r="J27" s="32">
        <v>1777.93</v>
      </c>
      <c r="K27" s="32">
        <v>3870.55</v>
      </c>
      <c r="L27" s="32">
        <v>4407.37</v>
      </c>
      <c r="M27" s="32">
        <v>7049.86</v>
      </c>
      <c r="N27" s="32">
        <v>2642.49</v>
      </c>
      <c r="O27" s="81">
        <f t="shared" si="2"/>
        <v>0.375</v>
      </c>
      <c r="P27" s="32">
        <v>5510</v>
      </c>
      <c r="Q27" s="32">
        <v>2337.7800000000002</v>
      </c>
      <c r="R27" s="32">
        <v>8872.34</v>
      </c>
      <c r="S27" s="32">
        <v>8236.99</v>
      </c>
      <c r="T27" s="32">
        <v>13497.78</v>
      </c>
      <c r="U27" s="32">
        <v>5260.79</v>
      </c>
      <c r="V27" s="81">
        <f t="shared" si="3"/>
        <v>0.39</v>
      </c>
    </row>
    <row r="28" spans="1:22" x14ac:dyDescent="0.25">
      <c r="A28" s="18" t="s">
        <v>49</v>
      </c>
      <c r="B28" s="19" t="s">
        <v>68</v>
      </c>
      <c r="C28" s="69">
        <f t="shared" si="0"/>
        <v>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81">
        <f t="shared" si="1"/>
        <v>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81">
        <f t="shared" si="2"/>
        <v>0</v>
      </c>
      <c r="P28" s="32">
        <v>0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81">
        <f t="shared" si="3"/>
        <v>0</v>
      </c>
    </row>
    <row r="29" spans="1:22" x14ac:dyDescent="0.25">
      <c r="A29" s="20" t="s">
        <v>46</v>
      </c>
      <c r="B29" s="21" t="s">
        <v>69</v>
      </c>
      <c r="C29" s="70">
        <f t="shared" si="0"/>
        <v>1.947480561464122</v>
      </c>
      <c r="D29" s="33">
        <v>1811.29</v>
      </c>
      <c r="E29" s="33">
        <v>10381.290000000001</v>
      </c>
      <c r="F29" s="33">
        <v>11160.82</v>
      </c>
      <c r="G29" s="33">
        <v>7691.09</v>
      </c>
      <c r="H29" s="33">
        <v>-3469.73</v>
      </c>
      <c r="I29" s="82">
        <f t="shared" si="1"/>
        <v>-0.45100000000000001</v>
      </c>
      <c r="J29" s="33">
        <v>1063.01</v>
      </c>
      <c r="K29" s="33">
        <v>0</v>
      </c>
      <c r="L29" s="33">
        <v>1642.8</v>
      </c>
      <c r="M29" s="33">
        <v>2622.19</v>
      </c>
      <c r="N29" s="33">
        <v>979.39</v>
      </c>
      <c r="O29" s="82">
        <f t="shared" si="2"/>
        <v>0.374</v>
      </c>
      <c r="P29" s="33">
        <v>8385</v>
      </c>
      <c r="Q29" s="33">
        <v>828.32</v>
      </c>
      <c r="R29" s="33">
        <v>0</v>
      </c>
      <c r="S29" s="33">
        <v>3968.65</v>
      </c>
      <c r="T29" s="33">
        <v>6211.57</v>
      </c>
      <c r="U29" s="33">
        <v>2242.92</v>
      </c>
      <c r="V29" s="82">
        <f t="shared" si="3"/>
        <v>0.36099999999999999</v>
      </c>
    </row>
    <row r="30" spans="1:22" x14ac:dyDescent="0.25">
      <c r="A30" s="20" t="s">
        <v>48</v>
      </c>
      <c r="B30" s="21" t="s">
        <v>69</v>
      </c>
      <c r="C30" s="70">
        <f t="shared" si="0"/>
        <v>6.0235349894042738</v>
      </c>
      <c r="D30" s="33">
        <v>30534.87</v>
      </c>
      <c r="E30" s="33">
        <v>-3085.66</v>
      </c>
      <c r="F30" s="33">
        <v>60831.13</v>
      </c>
      <c r="G30" s="33">
        <v>68562.679999999993</v>
      </c>
      <c r="H30" s="33">
        <v>7731.55</v>
      </c>
      <c r="I30" s="82">
        <f t="shared" si="1"/>
        <v>0.113</v>
      </c>
      <c r="J30" s="33">
        <v>0</v>
      </c>
      <c r="K30" s="33">
        <v>-24850.28</v>
      </c>
      <c r="L30" s="33">
        <v>13324.92</v>
      </c>
      <c r="M30" s="33">
        <v>17762.41</v>
      </c>
      <c r="N30" s="33">
        <v>4437.49</v>
      </c>
      <c r="O30" s="82">
        <f t="shared" si="2"/>
        <v>0.25</v>
      </c>
      <c r="P30" s="33">
        <v>68737</v>
      </c>
      <c r="Q30" s="33">
        <v>0</v>
      </c>
      <c r="R30" s="33">
        <v>2912.88</v>
      </c>
      <c r="S30" s="33">
        <v>19889</v>
      </c>
      <c r="T30" s="33">
        <v>26124.34</v>
      </c>
      <c r="U30" s="33">
        <v>6235.34</v>
      </c>
      <c r="V30" s="82">
        <f t="shared" si="3"/>
        <v>0.23899999999999999</v>
      </c>
    </row>
    <row r="31" spans="1:22" ht="15.75" thickBot="1" x14ac:dyDescent="0.3">
      <c r="A31" s="30" t="s">
        <v>49</v>
      </c>
      <c r="B31" s="64" t="s">
        <v>69</v>
      </c>
      <c r="C31" s="66">
        <f t="shared" si="0"/>
        <v>0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  <c r="I31" s="88">
        <f t="shared" si="1"/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88">
        <f t="shared" si="2"/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88">
        <f t="shared" si="3"/>
        <v>0</v>
      </c>
    </row>
    <row r="32" spans="1:22" s="3" customFormat="1" ht="15.75" thickBot="1" x14ac:dyDescent="0.3">
      <c r="A32" s="2"/>
      <c r="B32" s="87" t="s">
        <v>59</v>
      </c>
      <c r="C32" s="89">
        <f t="shared" si="0"/>
        <v>1.4056699507714956</v>
      </c>
      <c r="D32" s="6">
        <f>SUM(D2:D31)</f>
        <v>505845.25999999995</v>
      </c>
      <c r="E32" s="6">
        <f>SUM(E2:E31)</f>
        <v>4226432.9899999993</v>
      </c>
      <c r="F32" s="6">
        <f>SUM(F2:F31)</f>
        <v>4318327.4400000004</v>
      </c>
      <c r="G32" s="6">
        <f>SUM(G2:G31)</f>
        <v>6114313.2999999998</v>
      </c>
      <c r="H32" s="63">
        <f>SUM(H2:H31)</f>
        <v>1795985.8599999996</v>
      </c>
      <c r="I32" s="90">
        <f t="shared" si="1"/>
        <v>0.29399999999999998</v>
      </c>
      <c r="J32" s="63">
        <f t="shared" ref="J32:U32" si="4">SUM(J2:J31)</f>
        <v>570016.73000000021</v>
      </c>
      <c r="K32" s="63">
        <f t="shared" si="4"/>
        <v>4356057.1100000003</v>
      </c>
      <c r="L32" s="63">
        <f t="shared" si="4"/>
        <v>4548130.41</v>
      </c>
      <c r="M32" s="63">
        <f t="shared" si="4"/>
        <v>6219062.7300000014</v>
      </c>
      <c r="N32" s="63">
        <f t="shared" si="4"/>
        <v>1670932.3199999998</v>
      </c>
      <c r="O32" s="90">
        <f t="shared" si="2"/>
        <v>0.26900000000000002</v>
      </c>
      <c r="P32" s="63">
        <f t="shared" si="4"/>
        <v>6115288</v>
      </c>
      <c r="Q32" s="63">
        <f t="shared" si="4"/>
        <v>587808.07999999996</v>
      </c>
      <c r="R32" s="63">
        <f t="shared" si="4"/>
        <v>4405158.6099999994</v>
      </c>
      <c r="S32" s="63">
        <f t="shared" si="4"/>
        <v>4316558.1900000013</v>
      </c>
      <c r="T32" s="63">
        <f t="shared" si="4"/>
        <v>5986782.0600000005</v>
      </c>
      <c r="U32" s="63">
        <f t="shared" si="4"/>
        <v>1670223.8700000003</v>
      </c>
      <c r="V32" s="90">
        <f t="shared" si="3"/>
        <v>0.27900000000000003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E2DDA-29FF-421A-8C00-8CA54FC5CA8F}">
  <sheetPr>
    <tabColor theme="9" tint="0.79998168889431442"/>
  </sheetPr>
  <dimension ref="A1:V29"/>
  <sheetViews>
    <sheetView zoomScale="90" zoomScaleNormal="90" workbookViewId="0">
      <selection activeCell="C30" sqref="C30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4.285156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4.28515625" bestFit="1" customWidth="1"/>
    <col min="15" max="15" width="8.710937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4.28515625" bestFit="1" customWidth="1"/>
    <col min="22" max="22" width="8.7109375" style="78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14" t="s">
        <v>46</v>
      </c>
      <c r="B2" s="15" t="s">
        <v>60</v>
      </c>
      <c r="C2" s="68" cm="1">
        <f t="array" ref="C2:V22">'L - All'!C2:V22</f>
        <v>1.5413625322035545</v>
      </c>
      <c r="D2" s="79">
        <v>2619.0100000000002</v>
      </c>
      <c r="E2" s="79">
        <v>20963.13</v>
      </c>
      <c r="F2" s="79">
        <v>20389.830000000002</v>
      </c>
      <c r="G2" s="79">
        <v>39163.199999999997</v>
      </c>
      <c r="H2" s="79">
        <v>18773.37</v>
      </c>
      <c r="I2" s="80">
        <v>0.47899999999999998</v>
      </c>
      <c r="J2" s="79">
        <v>2302.56</v>
      </c>
      <c r="K2" s="79">
        <v>19631.78</v>
      </c>
      <c r="L2" s="79">
        <v>19122.669999999998</v>
      </c>
      <c r="M2" s="79">
        <v>37078.61</v>
      </c>
      <c r="N2" s="79">
        <v>17955.939999999999</v>
      </c>
      <c r="O2" s="80">
        <v>0.48399999999999999</v>
      </c>
      <c r="P2" s="79">
        <v>39164</v>
      </c>
      <c r="Q2" s="79">
        <v>1886.01</v>
      </c>
      <c r="R2" s="79">
        <v>22851.64</v>
      </c>
      <c r="S2" s="79">
        <v>22605.83</v>
      </c>
      <c r="T2" s="79">
        <v>39990.019999999997</v>
      </c>
      <c r="U2" s="79">
        <v>17384.189999999999</v>
      </c>
      <c r="V2" s="80">
        <v>0.435</v>
      </c>
    </row>
    <row r="3" spans="1:22" x14ac:dyDescent="0.25">
      <c r="A3" s="16" t="s">
        <v>48</v>
      </c>
      <c r="B3" s="17" t="s">
        <v>60</v>
      </c>
      <c r="C3" s="68">
        <v>15.360309061498262</v>
      </c>
      <c r="D3" s="79">
        <v>6480.86</v>
      </c>
      <c r="E3" s="79">
        <v>4164.9799999999996</v>
      </c>
      <c r="F3" s="79">
        <v>5063.07</v>
      </c>
      <c r="G3" s="79">
        <v>11347.65</v>
      </c>
      <c r="H3" s="79">
        <v>6284.58</v>
      </c>
      <c r="I3" s="80">
        <v>0.55400000000000005</v>
      </c>
      <c r="J3" s="79">
        <v>7481.5</v>
      </c>
      <c r="K3" s="79">
        <v>6029.18</v>
      </c>
      <c r="L3" s="79">
        <v>6112</v>
      </c>
      <c r="M3" s="79">
        <v>12723.5</v>
      </c>
      <c r="N3" s="79">
        <v>6611.5</v>
      </c>
      <c r="O3" s="80">
        <v>0.52</v>
      </c>
      <c r="P3" s="79">
        <v>11347</v>
      </c>
      <c r="Q3" s="79">
        <v>7758.7</v>
      </c>
      <c r="R3" s="79">
        <v>-7852.08</v>
      </c>
      <c r="S3" s="79">
        <v>5893.52</v>
      </c>
      <c r="T3" s="79">
        <v>11693.92</v>
      </c>
      <c r="U3" s="79">
        <v>5800.4</v>
      </c>
      <c r="V3" s="80">
        <v>0.496</v>
      </c>
    </row>
    <row r="4" spans="1:22" x14ac:dyDescent="0.25">
      <c r="A4" s="16" t="s">
        <v>49</v>
      </c>
      <c r="B4" s="17" t="s">
        <v>60</v>
      </c>
      <c r="C4" s="68">
        <v>0</v>
      </c>
      <c r="D4" s="79">
        <v>0</v>
      </c>
      <c r="E4" s="79">
        <v>0</v>
      </c>
      <c r="F4" s="79">
        <v>0</v>
      </c>
      <c r="G4" s="79">
        <v>0</v>
      </c>
      <c r="H4" s="79">
        <v>0</v>
      </c>
      <c r="I4" s="80">
        <v>0</v>
      </c>
      <c r="J4" s="79">
        <v>0</v>
      </c>
      <c r="K4" s="79">
        <v>0</v>
      </c>
      <c r="L4" s="79">
        <v>0</v>
      </c>
      <c r="M4" s="79">
        <v>0</v>
      </c>
      <c r="N4" s="79">
        <v>0</v>
      </c>
      <c r="O4" s="80">
        <v>0</v>
      </c>
      <c r="P4" s="79">
        <v>0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v>0</v>
      </c>
    </row>
    <row r="5" spans="1:22" x14ac:dyDescent="0.25">
      <c r="A5" s="18" t="s">
        <v>46</v>
      </c>
      <c r="B5" s="19" t="s">
        <v>61</v>
      </c>
      <c r="C5" s="69">
        <v>1.4626581094764275</v>
      </c>
      <c r="D5" s="32">
        <v>42602.51</v>
      </c>
      <c r="E5" s="32">
        <v>353073.76</v>
      </c>
      <c r="F5" s="32">
        <v>349521.27</v>
      </c>
      <c r="G5" s="32">
        <v>517552.39</v>
      </c>
      <c r="H5" s="32">
        <v>168031.12</v>
      </c>
      <c r="I5" s="81">
        <v>0.32500000000000001</v>
      </c>
      <c r="J5" s="32">
        <v>40995.379999999997</v>
      </c>
      <c r="K5" s="32">
        <v>309737.57</v>
      </c>
      <c r="L5" s="32">
        <v>305320.06</v>
      </c>
      <c r="M5" s="32">
        <v>421508.73</v>
      </c>
      <c r="N5" s="32">
        <v>116188.67</v>
      </c>
      <c r="O5" s="81">
        <v>0.27600000000000002</v>
      </c>
      <c r="P5" s="32">
        <v>517553</v>
      </c>
      <c r="Q5" s="32">
        <v>19253.61</v>
      </c>
      <c r="R5" s="32">
        <v>363652.04</v>
      </c>
      <c r="S5" s="32">
        <v>367342.16</v>
      </c>
      <c r="T5" s="32">
        <v>497255.96</v>
      </c>
      <c r="U5" s="32">
        <v>129913.8</v>
      </c>
      <c r="V5" s="81">
        <v>0.26100000000000001</v>
      </c>
    </row>
    <row r="6" spans="1:22" x14ac:dyDescent="0.25">
      <c r="A6" s="18" t="s">
        <v>48</v>
      </c>
      <c r="B6" s="19" t="s">
        <v>61</v>
      </c>
      <c r="C6" s="69">
        <v>3.2616024199629514</v>
      </c>
      <c r="D6" s="32">
        <v>96337.35</v>
      </c>
      <c r="E6" s="32">
        <v>307733.28000000003</v>
      </c>
      <c r="F6" s="32">
        <v>354441.79</v>
      </c>
      <c r="G6" s="32">
        <v>476255.37</v>
      </c>
      <c r="H6" s="32">
        <v>121813.58</v>
      </c>
      <c r="I6" s="81">
        <v>0.25600000000000001</v>
      </c>
      <c r="J6" s="32">
        <v>149960.95999999999</v>
      </c>
      <c r="K6" s="32">
        <v>442704.75</v>
      </c>
      <c r="L6" s="32">
        <v>443571.83</v>
      </c>
      <c r="M6" s="32">
        <v>577407.80000000005</v>
      </c>
      <c r="N6" s="32">
        <v>133835.97</v>
      </c>
      <c r="O6" s="81">
        <v>0.23200000000000001</v>
      </c>
      <c r="P6" s="32">
        <v>476256</v>
      </c>
      <c r="Q6" s="32">
        <v>75749.2</v>
      </c>
      <c r="R6" s="32">
        <v>428377.31</v>
      </c>
      <c r="S6" s="32">
        <v>373547.95</v>
      </c>
      <c r="T6" s="32">
        <v>492328.02</v>
      </c>
      <c r="U6" s="32">
        <v>118780.07</v>
      </c>
      <c r="V6" s="81">
        <v>0.24099999999999999</v>
      </c>
    </row>
    <row r="7" spans="1:22" x14ac:dyDescent="0.25">
      <c r="A7" s="18" t="s">
        <v>49</v>
      </c>
      <c r="B7" s="19" t="s">
        <v>61</v>
      </c>
      <c r="C7" s="69"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81"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v>0</v>
      </c>
    </row>
    <row r="8" spans="1:22" x14ac:dyDescent="0.25">
      <c r="A8" s="20" t="s">
        <v>46</v>
      </c>
      <c r="B8" s="21" t="s">
        <v>62</v>
      </c>
      <c r="C8" s="70">
        <v>0.92974847426974327</v>
      </c>
      <c r="D8" s="33">
        <v>9466.2000000000007</v>
      </c>
      <c r="E8" s="33">
        <v>123203.24</v>
      </c>
      <c r="F8" s="33">
        <v>122177.56</v>
      </c>
      <c r="G8" s="33">
        <v>224083.29</v>
      </c>
      <c r="H8" s="33">
        <v>101905.73</v>
      </c>
      <c r="I8" s="82">
        <v>0.45500000000000002</v>
      </c>
      <c r="J8" s="33">
        <v>9012.52</v>
      </c>
      <c r="K8" s="33">
        <v>67462.95</v>
      </c>
      <c r="L8" s="33">
        <v>71547.45</v>
      </c>
      <c r="M8" s="33">
        <v>118441.7</v>
      </c>
      <c r="N8" s="33">
        <v>46894.25</v>
      </c>
      <c r="O8" s="82">
        <v>0.39600000000000002</v>
      </c>
      <c r="P8" s="33">
        <v>224083</v>
      </c>
      <c r="Q8" s="33">
        <v>4728.49</v>
      </c>
      <c r="R8" s="33">
        <v>108588.91</v>
      </c>
      <c r="S8" s="33">
        <v>109306.7</v>
      </c>
      <c r="T8" s="33">
        <v>169548.62</v>
      </c>
      <c r="U8" s="33">
        <v>60241.919999999998</v>
      </c>
      <c r="V8" s="82">
        <v>0.35499999999999998</v>
      </c>
    </row>
    <row r="9" spans="1:22" x14ac:dyDescent="0.25">
      <c r="A9" s="20" t="s">
        <v>48</v>
      </c>
      <c r="B9" s="21" t="s">
        <v>62</v>
      </c>
      <c r="C9" s="70">
        <v>6.4191100401129894E-2</v>
      </c>
      <c r="D9" s="33">
        <v>331.8</v>
      </c>
      <c r="E9" s="33">
        <v>61908.82</v>
      </c>
      <c r="F9" s="33">
        <v>62027.29</v>
      </c>
      <c r="G9" s="33">
        <v>84612.15</v>
      </c>
      <c r="H9" s="33">
        <v>22584.86</v>
      </c>
      <c r="I9" s="82">
        <v>0.26700000000000002</v>
      </c>
      <c r="J9" s="33">
        <v>579.32000000000005</v>
      </c>
      <c r="K9" s="33">
        <v>131023.55</v>
      </c>
      <c r="L9" s="33">
        <v>163612.23000000001</v>
      </c>
      <c r="M9" s="33">
        <v>209130.55</v>
      </c>
      <c r="N9" s="33">
        <v>45518.32</v>
      </c>
      <c r="O9" s="82">
        <v>0.218</v>
      </c>
      <c r="P9" s="33">
        <v>84612</v>
      </c>
      <c r="Q9" s="33">
        <v>29034.78</v>
      </c>
      <c r="R9" s="33">
        <v>173961.57</v>
      </c>
      <c r="S9" s="33">
        <v>153233.54999999999</v>
      </c>
      <c r="T9" s="33">
        <v>204027.15</v>
      </c>
      <c r="U9" s="33">
        <v>50793.599999999999</v>
      </c>
      <c r="V9" s="82">
        <v>0.249</v>
      </c>
    </row>
    <row r="10" spans="1:22" x14ac:dyDescent="0.25">
      <c r="A10" s="20" t="s">
        <v>49</v>
      </c>
      <c r="B10" s="21" t="s">
        <v>62</v>
      </c>
      <c r="C10" s="70"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v>0</v>
      </c>
    </row>
    <row r="11" spans="1:22" x14ac:dyDescent="0.25">
      <c r="A11" s="22" t="s">
        <v>46</v>
      </c>
      <c r="B11" s="23" t="s">
        <v>63</v>
      </c>
      <c r="C11" s="71">
        <v>1.1253625411612853</v>
      </c>
      <c r="D11" s="34">
        <v>33654.22</v>
      </c>
      <c r="E11" s="34">
        <v>366134.82</v>
      </c>
      <c r="F11" s="34">
        <v>358862.7</v>
      </c>
      <c r="G11" s="34">
        <v>559413.57999999996</v>
      </c>
      <c r="H11" s="34">
        <v>200550.88</v>
      </c>
      <c r="I11" s="83">
        <v>0.35899999999999999</v>
      </c>
      <c r="J11" s="34">
        <v>31876.41</v>
      </c>
      <c r="K11" s="34">
        <v>305332.74</v>
      </c>
      <c r="L11" s="34">
        <v>304456.57</v>
      </c>
      <c r="M11" s="34">
        <v>432879.64</v>
      </c>
      <c r="N11" s="34">
        <v>128423.07</v>
      </c>
      <c r="O11" s="83">
        <v>0.29699999999999999</v>
      </c>
      <c r="P11" s="34">
        <v>559413</v>
      </c>
      <c r="Q11" s="34">
        <v>29409.08</v>
      </c>
      <c r="R11" s="34">
        <v>367218.79</v>
      </c>
      <c r="S11" s="34">
        <v>372784.69</v>
      </c>
      <c r="T11" s="34">
        <v>527242.68000000005</v>
      </c>
      <c r="U11" s="34">
        <v>154457.99</v>
      </c>
      <c r="V11" s="83">
        <v>0.29299999999999998</v>
      </c>
    </row>
    <row r="12" spans="1:22" x14ac:dyDescent="0.25">
      <c r="A12" s="22" t="s">
        <v>48</v>
      </c>
      <c r="B12" s="23" t="s">
        <v>63</v>
      </c>
      <c r="C12" s="71">
        <v>1.9813385437823077</v>
      </c>
      <c r="D12" s="34">
        <v>59451.09</v>
      </c>
      <c r="E12" s="34">
        <v>359173.93</v>
      </c>
      <c r="F12" s="34">
        <v>360066.22</v>
      </c>
      <c r="G12" s="34">
        <v>480639.78</v>
      </c>
      <c r="H12" s="34">
        <v>120573.56</v>
      </c>
      <c r="I12" s="83">
        <v>0.251</v>
      </c>
      <c r="J12" s="34">
        <v>74171.39</v>
      </c>
      <c r="K12" s="34">
        <v>380708.02</v>
      </c>
      <c r="L12" s="34">
        <v>392583.78</v>
      </c>
      <c r="M12" s="34">
        <v>507518.71999999997</v>
      </c>
      <c r="N12" s="34">
        <v>114934.94</v>
      </c>
      <c r="O12" s="83">
        <v>0.22600000000000001</v>
      </c>
      <c r="P12" s="34">
        <v>480639</v>
      </c>
      <c r="Q12" s="34">
        <v>80297</v>
      </c>
      <c r="R12" s="34">
        <v>343271.31</v>
      </c>
      <c r="S12" s="34">
        <v>363967.73</v>
      </c>
      <c r="T12" s="34">
        <v>488941.98</v>
      </c>
      <c r="U12" s="34">
        <v>124974.25</v>
      </c>
      <c r="V12" s="83">
        <v>0.25600000000000001</v>
      </c>
    </row>
    <row r="13" spans="1:22" x14ac:dyDescent="0.25">
      <c r="A13" s="22" t="s">
        <v>49</v>
      </c>
      <c r="B13" s="23" t="s">
        <v>63</v>
      </c>
      <c r="C13" s="71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83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83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v>0</v>
      </c>
    </row>
    <row r="14" spans="1:22" x14ac:dyDescent="0.25">
      <c r="A14" s="24" t="s">
        <v>46</v>
      </c>
      <c r="B14" s="25" t="s">
        <v>64</v>
      </c>
      <c r="C14" s="72">
        <v>2.1394505187036073</v>
      </c>
      <c r="D14" s="35">
        <v>12724.94</v>
      </c>
      <c r="E14" s="35">
        <v>72273.41</v>
      </c>
      <c r="F14" s="35">
        <v>71373.13</v>
      </c>
      <c r="G14" s="35">
        <v>120794.45</v>
      </c>
      <c r="H14" s="35">
        <v>49421.32</v>
      </c>
      <c r="I14" s="84">
        <v>0.40899999999999997</v>
      </c>
      <c r="J14" s="35">
        <v>11256.89</v>
      </c>
      <c r="K14" s="35">
        <v>65918.179999999993</v>
      </c>
      <c r="L14" s="35">
        <v>63455.57</v>
      </c>
      <c r="M14" s="35">
        <v>101584.7</v>
      </c>
      <c r="N14" s="35">
        <v>38129.129999999997</v>
      </c>
      <c r="O14" s="84">
        <v>0.375</v>
      </c>
      <c r="P14" s="35">
        <v>120798</v>
      </c>
      <c r="Q14" s="35">
        <v>8544.6</v>
      </c>
      <c r="R14" s="35">
        <v>58218.26</v>
      </c>
      <c r="S14" s="35">
        <v>60759.7</v>
      </c>
      <c r="T14" s="35">
        <v>97366.47</v>
      </c>
      <c r="U14" s="35">
        <v>36606.769999999997</v>
      </c>
      <c r="V14" s="84">
        <v>0.376</v>
      </c>
    </row>
    <row r="15" spans="1:22" x14ac:dyDescent="0.25">
      <c r="A15" s="24" t="s">
        <v>48</v>
      </c>
      <c r="B15" s="25" t="s">
        <v>64</v>
      </c>
      <c r="C15" s="72">
        <v>2.5724183272547405</v>
      </c>
      <c r="D15" s="35">
        <v>29400.75</v>
      </c>
      <c r="E15" s="35">
        <v>138372.32</v>
      </c>
      <c r="F15" s="35">
        <v>137150.71</v>
      </c>
      <c r="G15" s="35">
        <v>222214</v>
      </c>
      <c r="H15" s="35">
        <v>85063.29</v>
      </c>
      <c r="I15" s="84">
        <v>0.38300000000000001</v>
      </c>
      <c r="J15" s="35">
        <v>26700.65</v>
      </c>
      <c r="K15" s="35">
        <v>133729.07999999999</v>
      </c>
      <c r="L15" s="35">
        <v>145743.82999999999</v>
      </c>
      <c r="M15" s="35">
        <v>230138.2</v>
      </c>
      <c r="N15" s="35">
        <v>84394.37</v>
      </c>
      <c r="O15" s="84">
        <v>0.36699999999999999</v>
      </c>
      <c r="P15" s="35">
        <v>222215</v>
      </c>
      <c r="Q15" s="35">
        <v>39523.839999999997</v>
      </c>
      <c r="R15" s="35">
        <v>185378.58</v>
      </c>
      <c r="S15" s="35">
        <v>190193.61</v>
      </c>
      <c r="T15" s="35">
        <v>298053.37</v>
      </c>
      <c r="U15" s="35">
        <v>107859.76</v>
      </c>
      <c r="V15" s="84">
        <v>0.36199999999999999</v>
      </c>
    </row>
    <row r="16" spans="1:22" x14ac:dyDescent="0.25">
      <c r="A16" s="24" t="s">
        <v>49</v>
      </c>
      <c r="B16" s="25" t="s">
        <v>64</v>
      </c>
      <c r="C16" s="72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v>0</v>
      </c>
    </row>
    <row r="17" spans="1:22" x14ac:dyDescent="0.25">
      <c r="A17" s="26" t="s">
        <v>46</v>
      </c>
      <c r="B17" s="27" t="s">
        <v>65</v>
      </c>
      <c r="C17" s="73">
        <v>3.3721269864668808</v>
      </c>
      <c r="D17" s="36">
        <v>17003.97</v>
      </c>
      <c r="E17" s="36">
        <v>61541.26</v>
      </c>
      <c r="F17" s="36">
        <v>60510.07</v>
      </c>
      <c r="G17" s="36">
        <v>113863.55</v>
      </c>
      <c r="H17" s="36">
        <v>53353.48</v>
      </c>
      <c r="I17" s="85">
        <v>0.46899999999999997</v>
      </c>
      <c r="J17" s="36">
        <v>18124.47</v>
      </c>
      <c r="K17" s="36">
        <v>66229.62</v>
      </c>
      <c r="L17" s="36">
        <v>72053.37</v>
      </c>
      <c r="M17" s="36">
        <v>129373.25</v>
      </c>
      <c r="N17" s="36">
        <v>57319.88</v>
      </c>
      <c r="O17" s="85">
        <v>0.443</v>
      </c>
      <c r="P17" s="36">
        <v>113865</v>
      </c>
      <c r="Q17" s="36">
        <v>22190.18</v>
      </c>
      <c r="R17" s="36">
        <v>60672.61</v>
      </c>
      <c r="S17" s="36">
        <v>75107.44</v>
      </c>
      <c r="T17" s="36">
        <v>131513.26</v>
      </c>
      <c r="U17" s="36">
        <v>56405.82</v>
      </c>
      <c r="V17" s="85">
        <v>0.42899999999999999</v>
      </c>
    </row>
    <row r="18" spans="1:22" x14ac:dyDescent="0.25">
      <c r="A18" s="26" t="s">
        <v>48</v>
      </c>
      <c r="B18" s="27" t="s">
        <v>65</v>
      </c>
      <c r="C18" s="73">
        <v>9.8054292945270483</v>
      </c>
      <c r="D18" s="36">
        <v>51658.27</v>
      </c>
      <c r="E18" s="36">
        <v>77416.61</v>
      </c>
      <c r="F18" s="36">
        <v>63220</v>
      </c>
      <c r="G18" s="36">
        <v>95814.86</v>
      </c>
      <c r="H18" s="36">
        <v>32594.86</v>
      </c>
      <c r="I18" s="85">
        <v>0.34</v>
      </c>
      <c r="J18" s="36">
        <v>55898.61</v>
      </c>
      <c r="K18" s="36">
        <v>34134.400000000001</v>
      </c>
      <c r="L18" s="36">
        <v>67637.58</v>
      </c>
      <c r="M18" s="36">
        <v>104522.34</v>
      </c>
      <c r="N18" s="36">
        <v>36884.76</v>
      </c>
      <c r="O18" s="85">
        <v>0.35299999999999998</v>
      </c>
      <c r="P18" s="36">
        <v>95814</v>
      </c>
      <c r="Q18" s="36">
        <v>62167.58</v>
      </c>
      <c r="R18" s="36">
        <v>144238.43</v>
      </c>
      <c r="S18" s="36">
        <v>122263.7</v>
      </c>
      <c r="T18" s="36">
        <v>175727.97</v>
      </c>
      <c r="U18" s="36">
        <v>53464.27</v>
      </c>
      <c r="V18" s="85">
        <v>0.30399999999999999</v>
      </c>
    </row>
    <row r="19" spans="1:22" x14ac:dyDescent="0.25">
      <c r="A19" s="26" t="s">
        <v>49</v>
      </c>
      <c r="B19" s="27" t="s">
        <v>65</v>
      </c>
      <c r="C19" s="73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85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v>0</v>
      </c>
    </row>
    <row r="20" spans="1:22" x14ac:dyDescent="0.25">
      <c r="A20" s="28" t="s">
        <v>46</v>
      </c>
      <c r="B20" s="29" t="s">
        <v>66</v>
      </c>
      <c r="C20" s="74">
        <v>1.1525001501379231</v>
      </c>
      <c r="D20" s="37">
        <v>28034.400000000001</v>
      </c>
      <c r="E20" s="37">
        <v>305683.40000000002</v>
      </c>
      <c r="F20" s="37">
        <v>291898.27</v>
      </c>
      <c r="G20" s="37">
        <v>476962.73</v>
      </c>
      <c r="H20" s="37">
        <v>185064.46</v>
      </c>
      <c r="I20" s="86">
        <v>0.38800000000000001</v>
      </c>
      <c r="J20" s="37">
        <v>19030.59</v>
      </c>
      <c r="K20" s="37">
        <v>321765.90999999997</v>
      </c>
      <c r="L20" s="37">
        <v>326014.90999999997</v>
      </c>
      <c r="M20" s="37">
        <v>513758.51</v>
      </c>
      <c r="N20" s="37">
        <v>187743.6</v>
      </c>
      <c r="O20" s="86">
        <v>0.36499999999999999</v>
      </c>
      <c r="P20" s="37">
        <v>476969</v>
      </c>
      <c r="Q20" s="37">
        <v>25375.759999999998</v>
      </c>
      <c r="R20" s="37">
        <v>292863.02</v>
      </c>
      <c r="S20" s="37">
        <v>303917.14</v>
      </c>
      <c r="T20" s="37">
        <v>479885.15</v>
      </c>
      <c r="U20" s="37">
        <v>175968.01</v>
      </c>
      <c r="V20" s="86">
        <v>0.36699999999999999</v>
      </c>
    </row>
    <row r="21" spans="1:22" x14ac:dyDescent="0.25">
      <c r="A21" s="28" t="s">
        <v>48</v>
      </c>
      <c r="B21" s="29" t="s">
        <v>66</v>
      </c>
      <c r="C21" s="74">
        <v>1.5506540367143968</v>
      </c>
      <c r="D21" s="37">
        <v>59458.06</v>
      </c>
      <c r="E21" s="37">
        <v>438290.3</v>
      </c>
      <c r="F21" s="37">
        <v>460126.31</v>
      </c>
      <c r="G21" s="37">
        <v>676165.26</v>
      </c>
      <c r="H21" s="37">
        <v>216038.95</v>
      </c>
      <c r="I21" s="86">
        <v>0.32</v>
      </c>
      <c r="J21" s="37">
        <v>84300.87</v>
      </c>
      <c r="K21" s="37">
        <v>480340.43</v>
      </c>
      <c r="L21" s="37">
        <v>477232.3</v>
      </c>
      <c r="M21" s="37">
        <v>696493.07</v>
      </c>
      <c r="N21" s="37">
        <v>219260.77</v>
      </c>
      <c r="O21" s="86">
        <v>0.315</v>
      </c>
      <c r="P21" s="37">
        <v>676167</v>
      </c>
      <c r="Q21" s="37">
        <v>85163</v>
      </c>
      <c r="R21" s="37">
        <v>503352.46</v>
      </c>
      <c r="S21" s="37">
        <v>467152.37</v>
      </c>
      <c r="T21" s="37">
        <v>688323.18</v>
      </c>
      <c r="U21" s="37">
        <v>221170.81</v>
      </c>
      <c r="V21" s="86">
        <v>0.32100000000000001</v>
      </c>
    </row>
    <row r="22" spans="1:22" x14ac:dyDescent="0.25">
      <c r="A22" s="28" t="s">
        <v>49</v>
      </c>
      <c r="B22" s="29" t="s">
        <v>66</v>
      </c>
      <c r="C22" s="74" t="e">
        <v>#DIV/0!</v>
      </c>
      <c r="D22" s="37">
        <v>183.66</v>
      </c>
      <c r="E22" s="37">
        <v>0</v>
      </c>
      <c r="F22" s="37">
        <v>0</v>
      </c>
      <c r="G22" s="37">
        <v>0</v>
      </c>
      <c r="H22" s="37">
        <v>0</v>
      </c>
      <c r="I22" s="86">
        <v>0</v>
      </c>
      <c r="J22" s="37">
        <v>183.66</v>
      </c>
      <c r="K22" s="37">
        <v>57.04</v>
      </c>
      <c r="L22" s="37">
        <v>0</v>
      </c>
      <c r="M22" s="37">
        <v>0</v>
      </c>
      <c r="N22" s="37">
        <v>0</v>
      </c>
      <c r="O22" s="86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v>0</v>
      </c>
    </row>
    <row r="23" spans="1:22" x14ac:dyDescent="0.25">
      <c r="A23" s="18" t="s">
        <v>46</v>
      </c>
      <c r="B23" s="19" t="s">
        <v>68</v>
      </c>
      <c r="C23" s="69" t="e" cm="1">
        <f t="array" ref="C23:V28">'L - All'!C26:V31</f>
        <v>#DIV/0!</v>
      </c>
      <c r="D23" s="32">
        <v>199.81</v>
      </c>
      <c r="E23" s="32">
        <v>199.8</v>
      </c>
      <c r="F23" s="32">
        <v>0</v>
      </c>
      <c r="G23" s="32">
        <v>0</v>
      </c>
      <c r="H23" s="32">
        <v>0</v>
      </c>
      <c r="I23" s="81">
        <v>0</v>
      </c>
      <c r="J23" s="32">
        <v>0</v>
      </c>
      <c r="K23" s="32">
        <v>310.62</v>
      </c>
      <c r="L23" s="32">
        <v>350.91</v>
      </c>
      <c r="M23" s="32">
        <v>630.4</v>
      </c>
      <c r="N23" s="32">
        <v>279.49</v>
      </c>
      <c r="O23" s="81">
        <v>0.443</v>
      </c>
      <c r="P23" s="32">
        <v>0</v>
      </c>
      <c r="Q23" s="32">
        <v>39.700000000000003</v>
      </c>
      <c r="R23" s="32">
        <v>850.13</v>
      </c>
      <c r="S23" s="32">
        <v>849.32</v>
      </c>
      <c r="T23" s="32">
        <v>1190.3599999999999</v>
      </c>
      <c r="U23" s="32">
        <v>341.04</v>
      </c>
      <c r="V23" s="81">
        <v>0.28699999999999998</v>
      </c>
    </row>
    <row r="24" spans="1:22" x14ac:dyDescent="0.25">
      <c r="A24" s="18" t="s">
        <v>48</v>
      </c>
      <c r="B24" s="19" t="s">
        <v>68</v>
      </c>
      <c r="C24" s="69">
        <v>3.3800811347091146</v>
      </c>
      <c r="D24" s="32">
        <v>861.67</v>
      </c>
      <c r="E24" s="32">
        <v>3021.97</v>
      </c>
      <c r="F24" s="32">
        <v>3059.11</v>
      </c>
      <c r="G24" s="32">
        <v>5510.32</v>
      </c>
      <c r="H24" s="32">
        <v>2451.21</v>
      </c>
      <c r="I24" s="81">
        <v>0.44500000000000001</v>
      </c>
      <c r="J24" s="32">
        <v>1777.93</v>
      </c>
      <c r="K24" s="32">
        <v>3870.55</v>
      </c>
      <c r="L24" s="32">
        <v>4407.37</v>
      </c>
      <c r="M24" s="32">
        <v>7049.86</v>
      </c>
      <c r="N24" s="32">
        <v>2642.49</v>
      </c>
      <c r="O24" s="81">
        <v>0.375</v>
      </c>
      <c r="P24" s="32">
        <v>5510</v>
      </c>
      <c r="Q24" s="32">
        <v>2337.7800000000002</v>
      </c>
      <c r="R24" s="32">
        <v>8872.34</v>
      </c>
      <c r="S24" s="32">
        <v>8236.99</v>
      </c>
      <c r="T24" s="32">
        <v>13497.78</v>
      </c>
      <c r="U24" s="32">
        <v>5260.79</v>
      </c>
      <c r="V24" s="81">
        <v>0.39</v>
      </c>
    </row>
    <row r="25" spans="1:22" x14ac:dyDescent="0.25">
      <c r="A25" s="18" t="s">
        <v>49</v>
      </c>
      <c r="B25" s="19" t="s">
        <v>68</v>
      </c>
      <c r="C25" s="69">
        <v>0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  <c r="I25" s="81">
        <v>0</v>
      </c>
      <c r="J25" s="32">
        <v>0</v>
      </c>
      <c r="K25" s="32">
        <v>0</v>
      </c>
      <c r="L25" s="32">
        <v>0</v>
      </c>
      <c r="M25" s="32">
        <v>0</v>
      </c>
      <c r="N25" s="32">
        <v>0</v>
      </c>
      <c r="O25" s="81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81">
        <v>0</v>
      </c>
    </row>
    <row r="26" spans="1:22" x14ac:dyDescent="0.25">
      <c r="A26" s="20" t="s">
        <v>46</v>
      </c>
      <c r="B26" s="21" t="s">
        <v>69</v>
      </c>
      <c r="C26" s="70">
        <v>1.947480561464122</v>
      </c>
      <c r="D26" s="33">
        <v>1811.29</v>
      </c>
      <c r="E26" s="33">
        <v>10381.290000000001</v>
      </c>
      <c r="F26" s="33">
        <v>11160.82</v>
      </c>
      <c r="G26" s="33">
        <v>7691.09</v>
      </c>
      <c r="H26" s="33">
        <v>-3469.73</v>
      </c>
      <c r="I26" s="82">
        <v>-0.45100000000000001</v>
      </c>
      <c r="J26" s="33">
        <v>1063.01</v>
      </c>
      <c r="K26" s="33">
        <v>0</v>
      </c>
      <c r="L26" s="33">
        <v>1642.8</v>
      </c>
      <c r="M26" s="33">
        <v>2622.19</v>
      </c>
      <c r="N26" s="33">
        <v>979.39</v>
      </c>
      <c r="O26" s="82">
        <v>0.374</v>
      </c>
      <c r="P26" s="33">
        <v>8385</v>
      </c>
      <c r="Q26" s="33">
        <v>828.32</v>
      </c>
      <c r="R26" s="33">
        <v>0</v>
      </c>
      <c r="S26" s="33">
        <v>3968.65</v>
      </c>
      <c r="T26" s="33">
        <v>6211.57</v>
      </c>
      <c r="U26" s="33">
        <v>2242.92</v>
      </c>
      <c r="V26" s="82">
        <v>0.36099999999999999</v>
      </c>
    </row>
    <row r="27" spans="1:22" x14ac:dyDescent="0.25">
      <c r="A27" s="20" t="s">
        <v>48</v>
      </c>
      <c r="B27" s="21" t="s">
        <v>69</v>
      </c>
      <c r="C27" s="70">
        <v>6.0235349894042738</v>
      </c>
      <c r="D27" s="33">
        <v>30534.87</v>
      </c>
      <c r="E27" s="33">
        <v>-3085.66</v>
      </c>
      <c r="F27" s="33">
        <v>60831.13</v>
      </c>
      <c r="G27" s="33">
        <v>68562.679999999993</v>
      </c>
      <c r="H27" s="33">
        <v>7731.55</v>
      </c>
      <c r="I27" s="82">
        <v>0.113</v>
      </c>
      <c r="J27" s="33">
        <v>0</v>
      </c>
      <c r="K27" s="33">
        <v>-24850.28</v>
      </c>
      <c r="L27" s="33">
        <v>13324.92</v>
      </c>
      <c r="M27" s="33">
        <v>17762.41</v>
      </c>
      <c r="N27" s="33">
        <v>4437.49</v>
      </c>
      <c r="O27" s="82">
        <v>0.25</v>
      </c>
      <c r="P27" s="33">
        <v>68737</v>
      </c>
      <c r="Q27" s="33">
        <v>0</v>
      </c>
      <c r="R27" s="33">
        <v>2912.88</v>
      </c>
      <c r="S27" s="33">
        <v>19889</v>
      </c>
      <c r="T27" s="33">
        <v>26124.34</v>
      </c>
      <c r="U27" s="33">
        <v>6235.34</v>
      </c>
      <c r="V27" s="82">
        <v>0.23899999999999999</v>
      </c>
    </row>
    <row r="28" spans="1:22" ht="15.75" thickBot="1" x14ac:dyDescent="0.3">
      <c r="A28" s="30" t="s">
        <v>49</v>
      </c>
      <c r="B28" s="64" t="s">
        <v>69</v>
      </c>
      <c r="C28" s="66">
        <v>0</v>
      </c>
      <c r="D28" s="38">
        <v>0</v>
      </c>
      <c r="E28" s="38">
        <v>0</v>
      </c>
      <c r="F28" s="38">
        <v>0</v>
      </c>
      <c r="G28" s="38">
        <v>0</v>
      </c>
      <c r="H28" s="38">
        <v>0</v>
      </c>
      <c r="I28" s="8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8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88">
        <v>0</v>
      </c>
    </row>
    <row r="29" spans="1:22" s="3" customFormat="1" ht="15.75" thickBot="1" x14ac:dyDescent="0.3">
      <c r="A29" s="2"/>
      <c r="B29" s="87" t="s">
        <v>59</v>
      </c>
      <c r="C29" s="89">
        <f>IF(D29=0,0,(D29/(F29/12)))</f>
        <v>2.0752246708890647</v>
      </c>
      <c r="D29" s="6">
        <f>SUM(D2:D28)</f>
        <v>482814.72999999992</v>
      </c>
      <c r="E29" s="6">
        <f>SUM(E2:E28)</f>
        <v>2700450.6599999997</v>
      </c>
      <c r="F29" s="6">
        <f>SUM(F2:F28)</f>
        <v>2791879.28</v>
      </c>
      <c r="G29" s="6">
        <f>SUM(G2:G28)</f>
        <v>4180646.3499999996</v>
      </c>
      <c r="H29" s="63">
        <f>SUM(H2:H28)</f>
        <v>1388767.0699999998</v>
      </c>
      <c r="I29" s="90">
        <f>IF(G29=0,0,(1-(F29/G29)))</f>
        <v>0.33218955963591612</v>
      </c>
      <c r="J29" s="63">
        <f t="shared" ref="J29:U29" si="0">SUM(J2:J28)</f>
        <v>534716.7200000002</v>
      </c>
      <c r="K29" s="63">
        <f t="shared" si="0"/>
        <v>2744136.0900000003</v>
      </c>
      <c r="L29" s="63">
        <f t="shared" si="0"/>
        <v>2878190.1500000004</v>
      </c>
      <c r="M29" s="63">
        <f t="shared" si="0"/>
        <v>4120624.1799999997</v>
      </c>
      <c r="N29" s="63">
        <f t="shared" si="0"/>
        <v>1242434.0299999998</v>
      </c>
      <c r="O29" s="90">
        <f>IF(M29=0,0,(1-(L29/M29)))</f>
        <v>0.30151597809630859</v>
      </c>
      <c r="P29" s="63">
        <f t="shared" si="0"/>
        <v>4181527</v>
      </c>
      <c r="Q29" s="63">
        <f t="shared" si="0"/>
        <v>494287.63000000006</v>
      </c>
      <c r="R29" s="63">
        <f t="shared" si="0"/>
        <v>3057428.1999999997</v>
      </c>
      <c r="S29" s="63">
        <f t="shared" si="0"/>
        <v>3021020.0500000003</v>
      </c>
      <c r="T29" s="63">
        <f t="shared" si="0"/>
        <v>4348921.8000000007</v>
      </c>
      <c r="U29" s="63">
        <f t="shared" si="0"/>
        <v>1327901.7500000002</v>
      </c>
      <c r="V29" s="90">
        <f>IF(T29=0,0,(1-(S29/T29)))</f>
        <v>0.3053404524312211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A3594-2A41-4BDC-BD92-A6997B1F6A20}">
  <sheetPr>
    <tabColor theme="9" tint="0.79998168889431442"/>
  </sheetPr>
  <dimension ref="A1:V5"/>
  <sheetViews>
    <sheetView zoomScale="85" zoomScaleNormal="85" workbookViewId="0">
      <selection activeCell="C6" sqref="C6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4.285156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4.28515625" bestFit="1" customWidth="1"/>
    <col min="15" max="15" width="8.710937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4.28515625" bestFit="1" customWidth="1"/>
    <col min="22" max="22" width="8.7109375" style="78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16" t="s">
        <v>46</v>
      </c>
      <c r="B2" s="17" t="s">
        <v>67</v>
      </c>
      <c r="C2" s="68" cm="1">
        <f t="array" ref="C2:V4">'L - All'!C23:V25</f>
        <v>0.1866404223106003</v>
      </c>
      <c r="D2" s="79">
        <v>4508.78</v>
      </c>
      <c r="E2" s="79">
        <v>293427.28000000003</v>
      </c>
      <c r="F2" s="79">
        <v>289890.90000000002</v>
      </c>
      <c r="G2" s="79">
        <v>373953.58</v>
      </c>
      <c r="H2" s="79">
        <v>84062.68</v>
      </c>
      <c r="I2" s="80">
        <v>0.22500000000000001</v>
      </c>
      <c r="J2" s="79">
        <v>169.88</v>
      </c>
      <c r="K2" s="79">
        <v>54184.27</v>
      </c>
      <c r="L2" s="79">
        <v>52352.73</v>
      </c>
      <c r="M2" s="79">
        <v>69241.14</v>
      </c>
      <c r="N2" s="79">
        <v>16888.41</v>
      </c>
      <c r="O2" s="80">
        <v>0.24399999999999999</v>
      </c>
      <c r="P2" s="79">
        <v>373970</v>
      </c>
      <c r="Q2" s="79">
        <v>142.19999999999999</v>
      </c>
      <c r="R2" s="79">
        <v>77158</v>
      </c>
      <c r="S2" s="79">
        <v>77750.98</v>
      </c>
      <c r="T2" s="79">
        <v>102502.85</v>
      </c>
      <c r="U2" s="79">
        <v>24751.87</v>
      </c>
      <c r="V2" s="80">
        <v>0.24099999999999999</v>
      </c>
    </row>
    <row r="3" spans="1:22" x14ac:dyDescent="0.25">
      <c r="A3" s="16" t="s">
        <v>48</v>
      </c>
      <c r="B3" s="17" t="s">
        <v>67</v>
      </c>
      <c r="C3" s="68">
        <v>0.17974177758658744</v>
      </c>
      <c r="D3" s="79">
        <v>18521.75</v>
      </c>
      <c r="E3" s="79">
        <v>1232555.05</v>
      </c>
      <c r="F3" s="79">
        <v>1236557.26</v>
      </c>
      <c r="G3" s="79">
        <v>1559713.37</v>
      </c>
      <c r="H3" s="79">
        <v>323156.11</v>
      </c>
      <c r="I3" s="80">
        <v>0.20699999999999999</v>
      </c>
      <c r="J3" s="79">
        <v>35130.129999999997</v>
      </c>
      <c r="K3" s="79">
        <v>1557736.75</v>
      </c>
      <c r="L3" s="79">
        <v>1617587.53</v>
      </c>
      <c r="M3" s="79">
        <v>2029197.41</v>
      </c>
      <c r="N3" s="79">
        <v>411609.88</v>
      </c>
      <c r="O3" s="80">
        <v>0.20300000000000001</v>
      </c>
      <c r="P3" s="79">
        <v>1559791</v>
      </c>
      <c r="Q3" s="79">
        <v>93378.25</v>
      </c>
      <c r="R3" s="79">
        <v>1270572.4099999999</v>
      </c>
      <c r="S3" s="79">
        <v>1217787.1599999999</v>
      </c>
      <c r="T3" s="79">
        <v>1535357.41</v>
      </c>
      <c r="U3" s="79">
        <v>317570.25</v>
      </c>
      <c r="V3" s="80">
        <v>0.20699999999999999</v>
      </c>
    </row>
    <row r="4" spans="1:22" ht="15.75" thickBot="1" x14ac:dyDescent="0.3">
      <c r="A4" s="16" t="s">
        <v>49</v>
      </c>
      <c r="B4" s="17" t="s">
        <v>67</v>
      </c>
      <c r="C4" s="68">
        <v>0</v>
      </c>
      <c r="D4" s="79">
        <v>0</v>
      </c>
      <c r="E4" s="79">
        <v>0</v>
      </c>
      <c r="F4" s="79">
        <v>0</v>
      </c>
      <c r="G4" s="79">
        <v>0</v>
      </c>
      <c r="H4" s="79">
        <v>0</v>
      </c>
      <c r="I4" s="80">
        <v>0</v>
      </c>
      <c r="J4" s="79">
        <v>0</v>
      </c>
      <c r="K4" s="79">
        <v>0</v>
      </c>
      <c r="L4" s="79">
        <v>0</v>
      </c>
      <c r="M4" s="79">
        <v>0</v>
      </c>
      <c r="N4" s="79">
        <v>0</v>
      </c>
      <c r="O4" s="80">
        <v>0</v>
      </c>
      <c r="P4" s="79">
        <v>0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v>0</v>
      </c>
    </row>
    <row r="5" spans="1:22" s="3" customFormat="1" ht="15.75" thickBot="1" x14ac:dyDescent="0.3">
      <c r="A5" s="2"/>
      <c r="B5" s="87" t="s">
        <v>59</v>
      </c>
      <c r="C5" s="89">
        <f>IF(D5=0,0,(D5/(F5/12)))</f>
        <v>0.1810519133515808</v>
      </c>
      <c r="D5" s="6">
        <f>SUM(D2:D4)</f>
        <v>23030.53</v>
      </c>
      <c r="E5" s="6">
        <f>SUM(E2:E4)</f>
        <v>1525982.33</v>
      </c>
      <c r="F5" s="6">
        <f>SUM(F2:F4)</f>
        <v>1526448.1600000001</v>
      </c>
      <c r="G5" s="6">
        <f>SUM(G2:G4)</f>
        <v>1933666.9500000002</v>
      </c>
      <c r="H5" s="63">
        <f>SUM(H2:H4)</f>
        <v>407218.79</v>
      </c>
      <c r="I5" s="90">
        <f>IF(G5=0,0,(1-(F5/G5)))</f>
        <v>0.21059406843562178</v>
      </c>
      <c r="J5" s="63">
        <f>SUM(J2:J4)</f>
        <v>35300.009999999995</v>
      </c>
      <c r="K5" s="63">
        <f>SUM(K2:K4)</f>
        <v>1611921.02</v>
      </c>
      <c r="L5" s="63">
        <f>SUM(L2:L4)</f>
        <v>1669940.26</v>
      </c>
      <c r="M5" s="63">
        <f>SUM(M2:M4)</f>
        <v>2098438.5499999998</v>
      </c>
      <c r="N5" s="63">
        <f>SUM(N2:N4)</f>
        <v>428498.29</v>
      </c>
      <c r="O5" s="90">
        <f>IF(M5=0,0,(1-(L5/M5)))</f>
        <v>0.20419863617164291</v>
      </c>
      <c r="P5" s="63">
        <f t="shared" ref="P5:U5" si="0">SUM(P2:P4)</f>
        <v>1933761</v>
      </c>
      <c r="Q5" s="63">
        <f t="shared" si="0"/>
        <v>93520.45</v>
      </c>
      <c r="R5" s="63">
        <f t="shared" si="0"/>
        <v>1347730.41</v>
      </c>
      <c r="S5" s="63">
        <f t="shared" si="0"/>
        <v>1295538.1399999999</v>
      </c>
      <c r="T5" s="63">
        <f t="shared" si="0"/>
        <v>1637860.26</v>
      </c>
      <c r="U5" s="63">
        <f t="shared" si="0"/>
        <v>342322.12</v>
      </c>
      <c r="V5" s="90">
        <f>IF(T5=0,0,(1-(S5/T5)))</f>
        <v>0.20900569380686973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2A273-FD8D-4D42-8DC4-6A4891200560}">
  <sheetPr>
    <tabColor theme="9" tint="0.59999389629810485"/>
  </sheetPr>
  <dimension ref="A1:V29"/>
  <sheetViews>
    <sheetView zoomScale="90" zoomScaleNormal="90" workbookViewId="0">
      <pane ySplit="1" topLeftCell="A2" activePane="bottomLeft" state="frozen"/>
      <selection pane="bottomLeft" activeCell="C2" sqref="C2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14" t="s">
        <v>46</v>
      </c>
      <c r="B2" s="15" t="s">
        <v>70</v>
      </c>
      <c r="C2" s="68">
        <f>IF(D2=0,0,(D2/(F2/12)))</f>
        <v>5.8085963982397963</v>
      </c>
      <c r="D2" s="79">
        <v>1570.78</v>
      </c>
      <c r="E2" s="79">
        <v>3037.76</v>
      </c>
      <c r="F2" s="79">
        <v>3245.08</v>
      </c>
      <c r="G2" s="79">
        <v>5283.45</v>
      </c>
      <c r="H2" s="79">
        <v>2038.37</v>
      </c>
      <c r="I2" s="80">
        <f>IF(G2=0,0,ROUND((1-F2/G2),3))</f>
        <v>0.38600000000000001</v>
      </c>
      <c r="J2" s="79">
        <v>1808.67</v>
      </c>
      <c r="K2" s="79">
        <v>4596.0200000000004</v>
      </c>
      <c r="L2" s="79">
        <v>3192.16</v>
      </c>
      <c r="M2" s="79">
        <v>5035.37</v>
      </c>
      <c r="N2" s="79">
        <v>1843.21</v>
      </c>
      <c r="O2" s="80">
        <f>IF(M2=0,0,ROUND((1-L2/M2),3))</f>
        <v>0.36599999999999999</v>
      </c>
      <c r="P2" s="79">
        <v>5286</v>
      </c>
      <c r="Q2" s="79">
        <v>1095.44</v>
      </c>
      <c r="R2" s="79">
        <v>2384.7199999999998</v>
      </c>
      <c r="S2" s="79">
        <v>3389.56</v>
      </c>
      <c r="T2" s="79">
        <v>5531.73</v>
      </c>
      <c r="U2" s="79">
        <v>2142.17</v>
      </c>
      <c r="V2" s="80">
        <f>IF(T2=0,0,ROUND((1-S2/T2),3))</f>
        <v>0.38700000000000001</v>
      </c>
    </row>
    <row r="3" spans="1:22" x14ac:dyDescent="0.25">
      <c r="A3" s="16" t="s">
        <v>48</v>
      </c>
      <c r="B3" s="17" t="s">
        <v>70</v>
      </c>
      <c r="C3" s="68">
        <f t="shared" ref="C3:C29" si="0">IF(D3=0,0,(D3/(F3/12)))</f>
        <v>10.067667000539332</v>
      </c>
      <c r="D3" s="79">
        <v>5226.7299999999996</v>
      </c>
      <c r="E3" s="79">
        <v>6252.79</v>
      </c>
      <c r="F3" s="79">
        <v>6229.92</v>
      </c>
      <c r="G3" s="79">
        <v>9310.51</v>
      </c>
      <c r="H3" s="79">
        <v>3080.59</v>
      </c>
      <c r="I3" s="80">
        <f t="shared" ref="I3:I29" si="1">IF(G3=0,0,ROUND((1-F3/G3),3))</f>
        <v>0.33100000000000002</v>
      </c>
      <c r="J3" s="79">
        <v>6816.23</v>
      </c>
      <c r="K3" s="79">
        <v>6932.06</v>
      </c>
      <c r="L3" s="79">
        <v>7271.02</v>
      </c>
      <c r="M3" s="79">
        <v>10618.43</v>
      </c>
      <c r="N3" s="79">
        <v>3347.41</v>
      </c>
      <c r="O3" s="80">
        <f t="shared" ref="O3:O29" si="2">IF(M3=0,0,ROUND((1-L3/M3),3))</f>
        <v>0.315</v>
      </c>
      <c r="P3" s="79">
        <v>9312</v>
      </c>
      <c r="Q3" s="79">
        <v>6525.9</v>
      </c>
      <c r="R3" s="79">
        <v>4205.68</v>
      </c>
      <c r="S3" s="79">
        <v>4780.93</v>
      </c>
      <c r="T3" s="79">
        <v>7674.07</v>
      </c>
      <c r="U3" s="79">
        <v>2893.14</v>
      </c>
      <c r="V3" s="80">
        <f t="shared" ref="V3:V29" si="3">IF(T3=0,0,ROUND((1-S3/T3),3))</f>
        <v>0.377</v>
      </c>
    </row>
    <row r="4" spans="1:22" x14ac:dyDescent="0.25">
      <c r="A4" s="16" t="s">
        <v>49</v>
      </c>
      <c r="B4" s="17" t="s">
        <v>70</v>
      </c>
      <c r="C4" s="68">
        <f t="shared" si="0"/>
        <v>0</v>
      </c>
      <c r="D4" s="79">
        <v>0</v>
      </c>
      <c r="E4" s="79">
        <v>0</v>
      </c>
      <c r="F4" s="79">
        <v>0</v>
      </c>
      <c r="G4" s="79">
        <v>0</v>
      </c>
      <c r="H4" s="79">
        <v>0</v>
      </c>
      <c r="I4" s="80">
        <f t="shared" si="1"/>
        <v>0</v>
      </c>
      <c r="J4" s="79">
        <v>0</v>
      </c>
      <c r="K4" s="79">
        <v>0</v>
      </c>
      <c r="L4" s="79">
        <v>0</v>
      </c>
      <c r="M4" s="79">
        <v>0</v>
      </c>
      <c r="N4" s="79">
        <v>0</v>
      </c>
      <c r="O4" s="80">
        <f t="shared" si="2"/>
        <v>0</v>
      </c>
      <c r="P4" s="79">
        <v>0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f t="shared" si="3"/>
        <v>0</v>
      </c>
    </row>
    <row r="5" spans="1:22" ht="24" x14ac:dyDescent="0.25">
      <c r="A5" s="18" t="s">
        <v>46</v>
      </c>
      <c r="B5" s="19" t="s">
        <v>71</v>
      </c>
      <c r="C5" s="69">
        <f t="shared" si="0"/>
        <v>8.0935438227266232</v>
      </c>
      <c r="D5" s="32">
        <v>20215.439999999999</v>
      </c>
      <c r="E5" s="32">
        <v>32808.06</v>
      </c>
      <c r="F5" s="32">
        <v>29972.69</v>
      </c>
      <c r="G5" s="32">
        <v>49722.2</v>
      </c>
      <c r="H5" s="32">
        <v>19749.509999999998</v>
      </c>
      <c r="I5" s="81">
        <f t="shared" si="1"/>
        <v>0.39700000000000002</v>
      </c>
      <c r="J5" s="32">
        <v>19731.02</v>
      </c>
      <c r="K5" s="32">
        <v>31615.3</v>
      </c>
      <c r="L5" s="32">
        <v>30128.21</v>
      </c>
      <c r="M5" s="32">
        <v>50492.4</v>
      </c>
      <c r="N5" s="32">
        <v>20364.189999999999</v>
      </c>
      <c r="O5" s="81">
        <f t="shared" si="2"/>
        <v>0.40300000000000002</v>
      </c>
      <c r="P5" s="32">
        <v>49727</v>
      </c>
      <c r="Q5" s="32">
        <v>18918.32</v>
      </c>
      <c r="R5" s="32">
        <v>26042.92</v>
      </c>
      <c r="S5" s="32">
        <v>25323.72</v>
      </c>
      <c r="T5" s="32">
        <v>48022.42</v>
      </c>
      <c r="U5" s="32">
        <v>22698.7</v>
      </c>
      <c r="V5" s="81">
        <f t="shared" si="3"/>
        <v>0.47299999999999998</v>
      </c>
    </row>
    <row r="6" spans="1:22" ht="24" x14ac:dyDescent="0.25">
      <c r="A6" s="18" t="s">
        <v>48</v>
      </c>
      <c r="B6" s="19" t="s">
        <v>71</v>
      </c>
      <c r="C6" s="69">
        <f t="shared" si="0"/>
        <v>50.526440760271768</v>
      </c>
      <c r="D6" s="32">
        <v>48729.51</v>
      </c>
      <c r="E6" s="32">
        <v>10124.35</v>
      </c>
      <c r="F6" s="32">
        <v>11573.23</v>
      </c>
      <c r="G6" s="32">
        <v>17693.48</v>
      </c>
      <c r="H6" s="32">
        <v>6120.25</v>
      </c>
      <c r="I6" s="81">
        <f t="shared" si="1"/>
        <v>0.34599999999999997</v>
      </c>
      <c r="J6" s="32">
        <v>55149.88</v>
      </c>
      <c r="K6" s="32">
        <v>8479.81</v>
      </c>
      <c r="L6" s="32">
        <v>14575.94</v>
      </c>
      <c r="M6" s="32">
        <v>22589.78</v>
      </c>
      <c r="N6" s="32">
        <v>8013.84</v>
      </c>
      <c r="O6" s="81">
        <f t="shared" si="2"/>
        <v>0.35499999999999998</v>
      </c>
      <c r="P6" s="32">
        <v>17696</v>
      </c>
      <c r="Q6" s="32">
        <v>55686.41</v>
      </c>
      <c r="R6" s="32">
        <v>185645.64</v>
      </c>
      <c r="S6" s="32">
        <v>16759.62</v>
      </c>
      <c r="T6" s="32">
        <v>24128.19</v>
      </c>
      <c r="U6" s="32">
        <v>7368.57</v>
      </c>
      <c r="V6" s="81">
        <f t="shared" si="3"/>
        <v>0.30499999999999999</v>
      </c>
    </row>
    <row r="7" spans="1:22" ht="24" x14ac:dyDescent="0.25">
      <c r="A7" s="18" t="s">
        <v>49</v>
      </c>
      <c r="B7" s="19" t="s">
        <v>71</v>
      </c>
      <c r="C7" s="69">
        <f t="shared" si="0"/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f t="shared" si="1"/>
        <v>0</v>
      </c>
      <c r="J7" s="32">
        <v>0</v>
      </c>
      <c r="K7" s="32">
        <v>25.62</v>
      </c>
      <c r="L7" s="32">
        <v>22.4</v>
      </c>
      <c r="M7" s="32">
        <v>48.2</v>
      </c>
      <c r="N7" s="32">
        <v>25.8</v>
      </c>
      <c r="O7" s="81">
        <f t="shared" si="2"/>
        <v>0.53500000000000003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f t="shared" si="3"/>
        <v>0</v>
      </c>
    </row>
    <row r="8" spans="1:22" x14ac:dyDescent="0.25">
      <c r="A8" s="20" t="s">
        <v>46</v>
      </c>
      <c r="B8" s="21" t="s">
        <v>72</v>
      </c>
      <c r="C8" s="70">
        <f t="shared" si="0"/>
        <v>21.865889212827991</v>
      </c>
      <c r="D8" s="33">
        <v>150</v>
      </c>
      <c r="E8" s="33">
        <v>65.48</v>
      </c>
      <c r="F8" s="33">
        <v>82.32</v>
      </c>
      <c r="G8" s="33">
        <v>194.89</v>
      </c>
      <c r="H8" s="33">
        <v>112.57</v>
      </c>
      <c r="I8" s="82">
        <f t="shared" si="1"/>
        <v>0.57799999999999996</v>
      </c>
      <c r="J8" s="33">
        <v>163</v>
      </c>
      <c r="K8" s="33">
        <v>143</v>
      </c>
      <c r="L8" s="33">
        <v>173.03</v>
      </c>
      <c r="M8" s="33">
        <v>269.87</v>
      </c>
      <c r="N8" s="33">
        <v>96.84</v>
      </c>
      <c r="O8" s="82">
        <f t="shared" si="2"/>
        <v>0.35899999999999999</v>
      </c>
      <c r="P8" s="33">
        <v>195</v>
      </c>
      <c r="Q8" s="33">
        <v>193.5</v>
      </c>
      <c r="R8" s="33">
        <v>192</v>
      </c>
      <c r="S8" s="33">
        <v>216.2</v>
      </c>
      <c r="T8" s="33">
        <v>391.55</v>
      </c>
      <c r="U8" s="33">
        <v>175.35</v>
      </c>
      <c r="V8" s="82">
        <f t="shared" si="3"/>
        <v>0.44800000000000001</v>
      </c>
    </row>
    <row r="9" spans="1:22" x14ac:dyDescent="0.25">
      <c r="A9" s="20" t="s">
        <v>48</v>
      </c>
      <c r="B9" s="21" t="s">
        <v>72</v>
      </c>
      <c r="C9" s="70">
        <f t="shared" si="0"/>
        <v>137.08467153284673</v>
      </c>
      <c r="D9" s="33">
        <v>313.01</v>
      </c>
      <c r="E9" s="33">
        <v>-20.48</v>
      </c>
      <c r="F9" s="33">
        <v>27.4</v>
      </c>
      <c r="G9" s="33">
        <v>119.31</v>
      </c>
      <c r="H9" s="33">
        <v>91.91</v>
      </c>
      <c r="I9" s="82">
        <f t="shared" si="1"/>
        <v>0.77</v>
      </c>
      <c r="J9" s="33">
        <v>521.80999999999995</v>
      </c>
      <c r="K9" s="33">
        <v>0</v>
      </c>
      <c r="L9" s="33">
        <v>79.05</v>
      </c>
      <c r="M9" s="33">
        <v>282.69</v>
      </c>
      <c r="N9" s="33">
        <v>203.64</v>
      </c>
      <c r="O9" s="82">
        <f t="shared" si="2"/>
        <v>0.72</v>
      </c>
      <c r="P9" s="33">
        <v>119</v>
      </c>
      <c r="Q9" s="33">
        <v>686.91</v>
      </c>
      <c r="R9" s="33">
        <v>0</v>
      </c>
      <c r="S9" s="33">
        <v>47.34</v>
      </c>
      <c r="T9" s="33">
        <v>145.07</v>
      </c>
      <c r="U9" s="33">
        <v>97.73</v>
      </c>
      <c r="V9" s="82">
        <f t="shared" si="3"/>
        <v>0.67400000000000004</v>
      </c>
    </row>
    <row r="10" spans="1:22" x14ac:dyDescent="0.25">
      <c r="A10" s="20" t="s">
        <v>49</v>
      </c>
      <c r="B10" s="21" t="s">
        <v>72</v>
      </c>
      <c r="C10" s="70">
        <f t="shared" si="0"/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f t="shared" si="1"/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f t="shared" si="2"/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f t="shared" si="3"/>
        <v>0</v>
      </c>
    </row>
    <row r="11" spans="1:22" x14ac:dyDescent="0.25">
      <c r="A11" s="22" t="s">
        <v>46</v>
      </c>
      <c r="B11" s="23" t="s">
        <v>73</v>
      </c>
      <c r="C11" s="71">
        <f t="shared" si="0"/>
        <v>8.0208698021319336</v>
      </c>
      <c r="D11" s="34">
        <v>981.32</v>
      </c>
      <c r="E11" s="34">
        <v>1619.92</v>
      </c>
      <c r="F11" s="34">
        <v>1468.15</v>
      </c>
      <c r="G11" s="34">
        <v>2409.0700000000002</v>
      </c>
      <c r="H11" s="34">
        <v>940.92</v>
      </c>
      <c r="I11" s="83">
        <f t="shared" si="1"/>
        <v>0.39100000000000001</v>
      </c>
      <c r="J11" s="34">
        <v>1073.47</v>
      </c>
      <c r="K11" s="34">
        <v>2087.85</v>
      </c>
      <c r="L11" s="34">
        <v>2075.54</v>
      </c>
      <c r="M11" s="34">
        <v>3366.08</v>
      </c>
      <c r="N11" s="34">
        <v>1290.54</v>
      </c>
      <c r="O11" s="83">
        <f t="shared" si="2"/>
        <v>0.38300000000000001</v>
      </c>
      <c r="P11" s="34">
        <v>2409</v>
      </c>
      <c r="Q11" s="34">
        <v>941.54</v>
      </c>
      <c r="R11" s="34">
        <v>3766.95</v>
      </c>
      <c r="S11" s="34">
        <v>4339.04</v>
      </c>
      <c r="T11" s="34">
        <v>6442.17</v>
      </c>
      <c r="U11" s="34">
        <v>2103.13</v>
      </c>
      <c r="V11" s="83">
        <f t="shared" si="3"/>
        <v>0.32600000000000001</v>
      </c>
    </row>
    <row r="12" spans="1:22" x14ac:dyDescent="0.25">
      <c r="A12" s="22" t="s">
        <v>48</v>
      </c>
      <c r="B12" s="23" t="s">
        <v>73</v>
      </c>
      <c r="C12" s="71">
        <f t="shared" si="0"/>
        <v>3.0479944747587759</v>
      </c>
      <c r="D12" s="34">
        <v>1257.76</v>
      </c>
      <c r="E12" s="34">
        <v>5424.42</v>
      </c>
      <c r="F12" s="34">
        <v>4951.82</v>
      </c>
      <c r="G12" s="34">
        <v>6902.37</v>
      </c>
      <c r="H12" s="34">
        <v>1950.55</v>
      </c>
      <c r="I12" s="83">
        <f t="shared" si="1"/>
        <v>0.28299999999999997</v>
      </c>
      <c r="J12" s="34">
        <v>991.41</v>
      </c>
      <c r="K12" s="34">
        <v>1887.89</v>
      </c>
      <c r="L12" s="34">
        <v>1131.08</v>
      </c>
      <c r="M12" s="34">
        <v>1840.45</v>
      </c>
      <c r="N12" s="34">
        <v>709.37</v>
      </c>
      <c r="O12" s="83">
        <f t="shared" si="2"/>
        <v>0.38500000000000001</v>
      </c>
      <c r="P12" s="34">
        <v>6902</v>
      </c>
      <c r="Q12" s="34">
        <v>1747.08</v>
      </c>
      <c r="R12" s="34">
        <v>2472.7600000000002</v>
      </c>
      <c r="S12" s="34">
        <v>3171.83</v>
      </c>
      <c r="T12" s="34">
        <v>4434.6499999999996</v>
      </c>
      <c r="U12" s="34">
        <v>1262.82</v>
      </c>
      <c r="V12" s="83">
        <f t="shared" si="3"/>
        <v>0.28499999999999998</v>
      </c>
    </row>
    <row r="13" spans="1:22" x14ac:dyDescent="0.25">
      <c r="A13" s="22" t="s">
        <v>49</v>
      </c>
      <c r="B13" s="23" t="s">
        <v>73</v>
      </c>
      <c r="C13" s="71">
        <f t="shared" si="0"/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83">
        <f t="shared" si="1"/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83">
        <f t="shared" si="2"/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f t="shared" si="3"/>
        <v>0</v>
      </c>
    </row>
    <row r="14" spans="1:22" x14ac:dyDescent="0.25">
      <c r="A14" s="24" t="s">
        <v>46</v>
      </c>
      <c r="B14" s="25" t="s">
        <v>74</v>
      </c>
      <c r="C14" s="72">
        <f t="shared" si="0"/>
        <v>2.9460062562387392</v>
      </c>
      <c r="D14" s="35">
        <v>6067.43</v>
      </c>
      <c r="E14" s="35">
        <v>26160.62</v>
      </c>
      <c r="F14" s="35">
        <v>24714.53</v>
      </c>
      <c r="G14" s="35">
        <v>42441.87</v>
      </c>
      <c r="H14" s="35">
        <v>17727.34</v>
      </c>
      <c r="I14" s="84">
        <f t="shared" si="1"/>
        <v>0.41799999999999998</v>
      </c>
      <c r="J14" s="35">
        <v>5307.07</v>
      </c>
      <c r="K14" s="35">
        <v>21030.12</v>
      </c>
      <c r="L14" s="35">
        <v>22400.84</v>
      </c>
      <c r="M14" s="35">
        <v>38036.71</v>
      </c>
      <c r="N14" s="35">
        <v>15635.87</v>
      </c>
      <c r="O14" s="84">
        <f t="shared" si="2"/>
        <v>0.41099999999999998</v>
      </c>
      <c r="P14" s="35">
        <v>42444</v>
      </c>
      <c r="Q14" s="35">
        <v>7378.49</v>
      </c>
      <c r="R14" s="35">
        <v>26467.59</v>
      </c>
      <c r="S14" s="35">
        <v>25529.63</v>
      </c>
      <c r="T14" s="35">
        <v>42425.66</v>
      </c>
      <c r="U14" s="35">
        <v>16896.03</v>
      </c>
      <c r="V14" s="84">
        <f t="shared" si="3"/>
        <v>0.39800000000000002</v>
      </c>
    </row>
    <row r="15" spans="1:22" x14ac:dyDescent="0.25">
      <c r="A15" s="24" t="s">
        <v>48</v>
      </c>
      <c r="B15" s="25" t="s">
        <v>74</v>
      </c>
      <c r="C15" s="72">
        <f t="shared" si="0"/>
        <v>3.3740557582103654</v>
      </c>
      <c r="D15" s="35">
        <v>14822.48</v>
      </c>
      <c r="E15" s="35">
        <v>54606.47</v>
      </c>
      <c r="F15" s="35">
        <v>52716.9</v>
      </c>
      <c r="G15" s="35">
        <v>84722.02</v>
      </c>
      <c r="H15" s="35">
        <v>32005.119999999999</v>
      </c>
      <c r="I15" s="84">
        <f t="shared" si="1"/>
        <v>0.378</v>
      </c>
      <c r="J15" s="35">
        <v>14054.1</v>
      </c>
      <c r="K15" s="35">
        <v>51312.21</v>
      </c>
      <c r="L15" s="35">
        <v>55257</v>
      </c>
      <c r="M15" s="35">
        <v>92435.72</v>
      </c>
      <c r="N15" s="35">
        <v>37178.720000000001</v>
      </c>
      <c r="O15" s="84">
        <f t="shared" si="2"/>
        <v>0.40200000000000002</v>
      </c>
      <c r="P15" s="35">
        <v>84722</v>
      </c>
      <c r="Q15" s="35">
        <v>19145.34</v>
      </c>
      <c r="R15" s="35">
        <v>69004.77</v>
      </c>
      <c r="S15" s="35">
        <v>74652.929999999993</v>
      </c>
      <c r="T15" s="35">
        <v>121610.12</v>
      </c>
      <c r="U15" s="35">
        <v>46957.19</v>
      </c>
      <c r="V15" s="84">
        <f t="shared" si="3"/>
        <v>0.38600000000000001</v>
      </c>
    </row>
    <row r="16" spans="1:22" x14ac:dyDescent="0.25">
      <c r="A16" s="24" t="s">
        <v>49</v>
      </c>
      <c r="B16" s="25" t="s">
        <v>74</v>
      </c>
      <c r="C16" s="72">
        <f t="shared" si="0"/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f t="shared" si="1"/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f t="shared" si="2"/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f t="shared" si="3"/>
        <v>0</v>
      </c>
    </row>
    <row r="17" spans="1:22" x14ac:dyDescent="0.25">
      <c r="A17" s="26" t="s">
        <v>46</v>
      </c>
      <c r="B17" s="27" t="s">
        <v>75</v>
      </c>
      <c r="C17" s="73">
        <f t="shared" si="0"/>
        <v>0.11235709561917104</v>
      </c>
      <c r="D17" s="36">
        <v>527.1</v>
      </c>
      <c r="E17" s="36">
        <v>57340.79</v>
      </c>
      <c r="F17" s="36">
        <v>56295.51</v>
      </c>
      <c r="G17" s="36">
        <v>74709.759999999995</v>
      </c>
      <c r="H17" s="36">
        <v>18414.25</v>
      </c>
      <c r="I17" s="85">
        <f t="shared" si="1"/>
        <v>0.246</v>
      </c>
      <c r="J17" s="36">
        <v>528.52</v>
      </c>
      <c r="K17" s="36">
        <v>28654.53</v>
      </c>
      <c r="L17" s="36">
        <v>28273.32</v>
      </c>
      <c r="M17" s="36">
        <v>38211.99</v>
      </c>
      <c r="N17" s="36">
        <v>9938.67</v>
      </c>
      <c r="O17" s="85">
        <f t="shared" si="2"/>
        <v>0.26</v>
      </c>
      <c r="P17" s="36">
        <v>74721</v>
      </c>
      <c r="Q17" s="36">
        <v>382.54</v>
      </c>
      <c r="R17" s="36">
        <v>19125.650000000001</v>
      </c>
      <c r="S17" s="36">
        <v>19128.97</v>
      </c>
      <c r="T17" s="36">
        <v>25695.599999999999</v>
      </c>
      <c r="U17" s="36">
        <v>6566.63</v>
      </c>
      <c r="V17" s="85">
        <f t="shared" si="3"/>
        <v>0.25600000000000001</v>
      </c>
    </row>
    <row r="18" spans="1:22" x14ac:dyDescent="0.25">
      <c r="A18" s="26" t="s">
        <v>48</v>
      </c>
      <c r="B18" s="27" t="s">
        <v>75</v>
      </c>
      <c r="C18" s="73">
        <f t="shared" si="0"/>
        <v>0.41597148216696322</v>
      </c>
      <c r="D18" s="36">
        <v>40086.050000000003</v>
      </c>
      <c r="E18" s="36">
        <v>1078579.83</v>
      </c>
      <c r="F18" s="36">
        <v>1156407.6399999999</v>
      </c>
      <c r="G18" s="36">
        <v>1409678.57</v>
      </c>
      <c r="H18" s="36">
        <v>253270.93</v>
      </c>
      <c r="I18" s="85">
        <f t="shared" si="1"/>
        <v>0.18</v>
      </c>
      <c r="J18" s="36">
        <v>123701.24</v>
      </c>
      <c r="K18" s="36">
        <v>1171927.69</v>
      </c>
      <c r="L18" s="36">
        <v>1108963.48</v>
      </c>
      <c r="M18" s="36">
        <v>1355354.83</v>
      </c>
      <c r="N18" s="36">
        <v>246391.35</v>
      </c>
      <c r="O18" s="85">
        <f t="shared" si="2"/>
        <v>0.182</v>
      </c>
      <c r="P18" s="36">
        <v>1409700</v>
      </c>
      <c r="Q18" s="36">
        <v>59301.86</v>
      </c>
      <c r="R18" s="36">
        <v>807637.2</v>
      </c>
      <c r="S18" s="36">
        <v>1038578.26</v>
      </c>
      <c r="T18" s="36">
        <v>1231234.44</v>
      </c>
      <c r="U18" s="36">
        <v>192656.18</v>
      </c>
      <c r="V18" s="85">
        <f t="shared" si="3"/>
        <v>0.156</v>
      </c>
    </row>
    <row r="19" spans="1:22" x14ac:dyDescent="0.25">
      <c r="A19" s="26" t="s">
        <v>49</v>
      </c>
      <c r="B19" s="27" t="s">
        <v>75</v>
      </c>
      <c r="C19" s="73">
        <f t="shared" si="0"/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f t="shared" si="1"/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85">
        <f t="shared" si="2"/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f t="shared" si="3"/>
        <v>0</v>
      </c>
    </row>
    <row r="20" spans="1:22" x14ac:dyDescent="0.25">
      <c r="A20" s="28" t="s">
        <v>46</v>
      </c>
      <c r="B20" s="29" t="s">
        <v>76</v>
      </c>
      <c r="C20" s="74">
        <f t="shared" si="0"/>
        <v>2.3827285019917408</v>
      </c>
      <c r="D20" s="37">
        <v>3259.93</v>
      </c>
      <c r="E20" s="37">
        <v>19949.150000000001</v>
      </c>
      <c r="F20" s="37">
        <v>16417.8</v>
      </c>
      <c r="G20" s="37">
        <v>21529.040000000001</v>
      </c>
      <c r="H20" s="37">
        <v>5111.24</v>
      </c>
      <c r="I20" s="86">
        <f t="shared" si="1"/>
        <v>0.23699999999999999</v>
      </c>
      <c r="J20" s="37">
        <v>0</v>
      </c>
      <c r="K20" s="37">
        <v>12629.05</v>
      </c>
      <c r="L20" s="37">
        <v>12625.43</v>
      </c>
      <c r="M20" s="37">
        <v>16640.68</v>
      </c>
      <c r="N20" s="37">
        <v>4015.25</v>
      </c>
      <c r="O20" s="86">
        <f t="shared" si="2"/>
        <v>0.24099999999999999</v>
      </c>
      <c r="P20" s="37">
        <v>21531</v>
      </c>
      <c r="Q20" s="37">
        <v>0</v>
      </c>
      <c r="R20" s="37">
        <v>6072.08</v>
      </c>
      <c r="S20" s="37">
        <v>6629.23</v>
      </c>
      <c r="T20" s="37">
        <v>8735.01</v>
      </c>
      <c r="U20" s="37">
        <v>2105.7800000000002</v>
      </c>
      <c r="V20" s="86">
        <f t="shared" si="3"/>
        <v>0.24099999999999999</v>
      </c>
    </row>
    <row r="21" spans="1:22" x14ac:dyDescent="0.25">
      <c r="A21" s="28" t="s">
        <v>48</v>
      </c>
      <c r="B21" s="29" t="s">
        <v>76</v>
      </c>
      <c r="C21" s="74">
        <f t="shared" si="0"/>
        <v>0.48103447505155733</v>
      </c>
      <c r="D21" s="37">
        <v>18293.98</v>
      </c>
      <c r="E21" s="37">
        <v>456118.64</v>
      </c>
      <c r="F21" s="37">
        <v>456365.96</v>
      </c>
      <c r="G21" s="37">
        <v>585460.99</v>
      </c>
      <c r="H21" s="37">
        <v>129095.03</v>
      </c>
      <c r="I21" s="86">
        <f t="shared" si="1"/>
        <v>0.221</v>
      </c>
      <c r="J21" s="37">
        <v>21649.47</v>
      </c>
      <c r="K21" s="37">
        <v>476694.08</v>
      </c>
      <c r="L21" s="37">
        <v>473414.53</v>
      </c>
      <c r="M21" s="37">
        <v>600484.15</v>
      </c>
      <c r="N21" s="37">
        <v>127069.62</v>
      </c>
      <c r="O21" s="86">
        <f t="shared" si="2"/>
        <v>0.21199999999999999</v>
      </c>
      <c r="P21" s="37">
        <v>585489</v>
      </c>
      <c r="Q21" s="37">
        <v>19444.330000000002</v>
      </c>
      <c r="R21" s="37">
        <v>566855.18000000005</v>
      </c>
      <c r="S21" s="37">
        <v>567225.48</v>
      </c>
      <c r="T21" s="37">
        <v>723144.71</v>
      </c>
      <c r="U21" s="37">
        <v>155919.23000000001</v>
      </c>
      <c r="V21" s="86">
        <f t="shared" si="3"/>
        <v>0.216</v>
      </c>
    </row>
    <row r="22" spans="1:22" x14ac:dyDescent="0.25">
      <c r="A22" s="28" t="s">
        <v>49</v>
      </c>
      <c r="B22" s="29" t="s">
        <v>76</v>
      </c>
      <c r="C22" s="74">
        <f t="shared" si="0"/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86">
        <f t="shared" si="1"/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86">
        <f t="shared" si="2"/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f t="shared" si="3"/>
        <v>0</v>
      </c>
    </row>
    <row r="23" spans="1:22" x14ac:dyDescent="0.25">
      <c r="A23" s="16" t="s">
        <v>46</v>
      </c>
      <c r="B23" s="17" t="s">
        <v>77</v>
      </c>
      <c r="C23" s="68">
        <f t="shared" si="0"/>
        <v>0</v>
      </c>
      <c r="D23" s="79">
        <v>0</v>
      </c>
      <c r="E23" s="79">
        <v>21151.86</v>
      </c>
      <c r="F23" s="79">
        <v>21166.49</v>
      </c>
      <c r="G23" s="79">
        <v>29716.45</v>
      </c>
      <c r="H23" s="79">
        <v>8549.9599999999991</v>
      </c>
      <c r="I23" s="80">
        <f t="shared" si="1"/>
        <v>0.28799999999999998</v>
      </c>
      <c r="J23" s="79">
        <v>0</v>
      </c>
      <c r="K23" s="79">
        <v>13363.32</v>
      </c>
      <c r="L23" s="79">
        <v>13363.32</v>
      </c>
      <c r="M23" s="79">
        <v>17188.82</v>
      </c>
      <c r="N23" s="79">
        <v>3825.5</v>
      </c>
      <c r="O23" s="80">
        <f t="shared" si="2"/>
        <v>0.223</v>
      </c>
      <c r="P23" s="79">
        <v>29720</v>
      </c>
      <c r="Q23" s="79">
        <v>0</v>
      </c>
      <c r="R23" s="79">
        <v>14284.29</v>
      </c>
      <c r="S23" s="79">
        <v>14467.65</v>
      </c>
      <c r="T23" s="79">
        <v>19070.009999999998</v>
      </c>
      <c r="U23" s="79">
        <v>4602.3599999999997</v>
      </c>
      <c r="V23" s="80">
        <f t="shared" si="3"/>
        <v>0.24099999999999999</v>
      </c>
    </row>
    <row r="24" spans="1:22" x14ac:dyDescent="0.25">
      <c r="A24" s="16" t="s">
        <v>48</v>
      </c>
      <c r="B24" s="17" t="s">
        <v>77</v>
      </c>
      <c r="C24" s="68">
        <f t="shared" si="0"/>
        <v>0.13205819783858253</v>
      </c>
      <c r="D24" s="79">
        <v>3058.35</v>
      </c>
      <c r="E24" s="79">
        <v>268673.31</v>
      </c>
      <c r="F24" s="79">
        <v>277909.28999999998</v>
      </c>
      <c r="G24" s="79">
        <v>363023.72</v>
      </c>
      <c r="H24" s="79">
        <v>85114.43</v>
      </c>
      <c r="I24" s="80">
        <f t="shared" si="1"/>
        <v>0.23400000000000001</v>
      </c>
      <c r="J24" s="79">
        <v>11132.61</v>
      </c>
      <c r="K24" s="79">
        <v>377398.59</v>
      </c>
      <c r="L24" s="79">
        <v>374429.16</v>
      </c>
      <c r="M24" s="79">
        <v>475237.38</v>
      </c>
      <c r="N24" s="79">
        <v>100808.22</v>
      </c>
      <c r="O24" s="80">
        <f t="shared" si="2"/>
        <v>0.21199999999999999</v>
      </c>
      <c r="P24" s="79">
        <v>363021</v>
      </c>
      <c r="Q24" s="79">
        <v>6881.43</v>
      </c>
      <c r="R24" s="79">
        <v>297214.01</v>
      </c>
      <c r="S24" s="79">
        <v>294481.87</v>
      </c>
      <c r="T24" s="79">
        <v>389667.82</v>
      </c>
      <c r="U24" s="79">
        <v>95185.95</v>
      </c>
      <c r="V24" s="80">
        <f t="shared" si="3"/>
        <v>0.24399999999999999</v>
      </c>
    </row>
    <row r="25" spans="1:22" x14ac:dyDescent="0.25">
      <c r="A25" s="16" t="s">
        <v>49</v>
      </c>
      <c r="B25" s="17" t="s">
        <v>77</v>
      </c>
      <c r="C25" s="68">
        <f t="shared" si="0"/>
        <v>0</v>
      </c>
      <c r="D25" s="79">
        <v>0</v>
      </c>
      <c r="E25" s="79">
        <v>0</v>
      </c>
      <c r="F25" s="79">
        <v>0</v>
      </c>
      <c r="G25" s="79">
        <v>0</v>
      </c>
      <c r="H25" s="79">
        <v>0</v>
      </c>
      <c r="I25" s="80">
        <f t="shared" si="1"/>
        <v>0</v>
      </c>
      <c r="J25" s="79">
        <v>0</v>
      </c>
      <c r="K25" s="79">
        <v>0</v>
      </c>
      <c r="L25" s="79">
        <v>0</v>
      </c>
      <c r="M25" s="79">
        <v>0</v>
      </c>
      <c r="N25" s="79">
        <v>0</v>
      </c>
      <c r="O25" s="80">
        <f t="shared" si="2"/>
        <v>0</v>
      </c>
      <c r="P25" s="79">
        <v>0</v>
      </c>
      <c r="Q25" s="79">
        <v>0</v>
      </c>
      <c r="R25" s="79">
        <v>0</v>
      </c>
      <c r="S25" s="79">
        <v>0</v>
      </c>
      <c r="T25" s="79">
        <v>0</v>
      </c>
      <c r="U25" s="79">
        <v>0</v>
      </c>
      <c r="V25" s="80">
        <f t="shared" si="3"/>
        <v>0</v>
      </c>
    </row>
    <row r="26" spans="1:22" x14ac:dyDescent="0.25">
      <c r="A26" s="18" t="s">
        <v>46</v>
      </c>
      <c r="B26" s="19" t="s">
        <v>78</v>
      </c>
      <c r="C26" s="69">
        <f t="shared" si="0"/>
        <v>0</v>
      </c>
      <c r="D26" s="32">
        <v>0</v>
      </c>
      <c r="E26" s="32">
        <v>1662.15</v>
      </c>
      <c r="F26" s="32">
        <v>1652.35</v>
      </c>
      <c r="G26" s="32">
        <v>2073.1999999999998</v>
      </c>
      <c r="H26" s="32">
        <v>420.85</v>
      </c>
      <c r="I26" s="81">
        <f t="shared" si="1"/>
        <v>0.20300000000000001</v>
      </c>
      <c r="J26" s="32">
        <v>0</v>
      </c>
      <c r="K26" s="32">
        <v>11.4</v>
      </c>
      <c r="L26" s="32">
        <v>11.4</v>
      </c>
      <c r="M26" s="32">
        <v>14.82</v>
      </c>
      <c r="N26" s="32">
        <v>3.42</v>
      </c>
      <c r="O26" s="81">
        <f t="shared" si="2"/>
        <v>0.23100000000000001</v>
      </c>
      <c r="P26" s="32">
        <v>2073</v>
      </c>
      <c r="Q26" s="32">
        <v>0</v>
      </c>
      <c r="R26" s="32">
        <v>126612.97</v>
      </c>
      <c r="S26" s="32">
        <v>14.7</v>
      </c>
      <c r="T26" s="32">
        <v>5</v>
      </c>
      <c r="U26" s="32">
        <v>-9.6999999999999993</v>
      </c>
      <c r="V26" s="81">
        <f t="shared" si="3"/>
        <v>-1.94</v>
      </c>
    </row>
    <row r="27" spans="1:22" x14ac:dyDescent="0.25">
      <c r="A27" s="18" t="s">
        <v>48</v>
      </c>
      <c r="B27" s="19" t="s">
        <v>78</v>
      </c>
      <c r="C27" s="69">
        <f t="shared" si="0"/>
        <v>0.55124506953420094</v>
      </c>
      <c r="D27" s="32">
        <v>5768.38</v>
      </c>
      <c r="E27" s="32">
        <v>118969.67</v>
      </c>
      <c r="F27" s="32">
        <v>125571.3</v>
      </c>
      <c r="G27" s="32">
        <v>158600.64000000001</v>
      </c>
      <c r="H27" s="32">
        <v>33029.339999999997</v>
      </c>
      <c r="I27" s="81">
        <f t="shared" si="1"/>
        <v>0.20799999999999999</v>
      </c>
      <c r="J27" s="32">
        <v>12566.78</v>
      </c>
      <c r="K27" s="32">
        <v>127912.23</v>
      </c>
      <c r="L27" s="32">
        <v>119691.87</v>
      </c>
      <c r="M27" s="32">
        <v>150595.92000000001</v>
      </c>
      <c r="N27" s="32">
        <v>30904.05</v>
      </c>
      <c r="O27" s="81">
        <f t="shared" si="2"/>
        <v>0.20499999999999999</v>
      </c>
      <c r="P27" s="32">
        <v>158609</v>
      </c>
      <c r="Q27" s="32">
        <v>3865.77</v>
      </c>
      <c r="R27" s="32">
        <v>143992.19</v>
      </c>
      <c r="S27" s="32">
        <v>156156.19</v>
      </c>
      <c r="T27" s="32">
        <v>196461.17</v>
      </c>
      <c r="U27" s="32">
        <v>40304.980000000003</v>
      </c>
      <c r="V27" s="81">
        <f t="shared" si="3"/>
        <v>0.20499999999999999</v>
      </c>
    </row>
    <row r="28" spans="1:22" ht="15.75" thickBot="1" x14ac:dyDescent="0.3">
      <c r="A28" s="18" t="s">
        <v>49</v>
      </c>
      <c r="B28" s="19" t="s">
        <v>78</v>
      </c>
      <c r="C28" s="69">
        <f t="shared" si="0"/>
        <v>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81">
        <f t="shared" si="1"/>
        <v>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81">
        <f t="shared" si="2"/>
        <v>0</v>
      </c>
      <c r="P28" s="32">
        <v>0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81">
        <f t="shared" si="3"/>
        <v>0</v>
      </c>
    </row>
    <row r="29" spans="1:22" s="3" customFormat="1" ht="15.75" thickBot="1" x14ac:dyDescent="0.3">
      <c r="A29" s="2"/>
      <c r="B29" s="87" t="s">
        <v>59</v>
      </c>
      <c r="C29" s="89">
        <f t="shared" si="0"/>
        <v>0.90972394760157693</v>
      </c>
      <c r="D29" s="6">
        <f>SUM(D2:D28)</f>
        <v>170328.25</v>
      </c>
      <c r="E29" s="6">
        <f>SUM(E2:E28)</f>
        <v>2162524.79</v>
      </c>
      <c r="F29" s="6">
        <f>SUM(F2:F28)</f>
        <v>2246768.38</v>
      </c>
      <c r="G29" s="6">
        <f>SUM(G2:G28)</f>
        <v>2863591.5400000005</v>
      </c>
      <c r="H29" s="63">
        <f>SUM(H2:H28)</f>
        <v>616823.15999999992</v>
      </c>
      <c r="I29" s="90">
        <f t="shared" si="1"/>
        <v>0.215</v>
      </c>
      <c r="J29" s="63">
        <f>SUM(J2:J28)</f>
        <v>275195.28000000003</v>
      </c>
      <c r="K29" s="63">
        <f>SUM(K2:K28)</f>
        <v>2336700.77</v>
      </c>
      <c r="L29" s="63">
        <f>SUM(L2:L28)</f>
        <v>2267078.7800000003</v>
      </c>
      <c r="M29" s="63">
        <f>SUM(M2:M28)</f>
        <v>2878744.2899999996</v>
      </c>
      <c r="N29" s="63">
        <f>SUM(N2:N28)</f>
        <v>611665.51000000013</v>
      </c>
      <c r="O29" s="90">
        <f t="shared" si="2"/>
        <v>0.21199999999999999</v>
      </c>
      <c r="P29" s="63">
        <f t="shared" ref="P29:U29" si="4">SUM(P2:P28)</f>
        <v>2863676</v>
      </c>
      <c r="Q29" s="63">
        <f t="shared" si="4"/>
        <v>202194.86000000002</v>
      </c>
      <c r="R29" s="63">
        <f t="shared" si="4"/>
        <v>2301976.6</v>
      </c>
      <c r="S29" s="63">
        <f t="shared" si="4"/>
        <v>2254893.15</v>
      </c>
      <c r="T29" s="63">
        <f t="shared" si="4"/>
        <v>2854819.3899999992</v>
      </c>
      <c r="U29" s="63">
        <f t="shared" si="4"/>
        <v>599926.24</v>
      </c>
      <c r="V29" s="90">
        <f t="shared" si="3"/>
        <v>0.21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85A52-0DAE-463F-9609-105C3D41BBC1}">
  <sheetPr>
    <tabColor theme="9" tint="0.59999389629810485"/>
  </sheetPr>
  <dimension ref="A1:V17"/>
  <sheetViews>
    <sheetView zoomScale="90" zoomScaleNormal="90" workbookViewId="0">
      <selection activeCell="C18" sqref="C18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14" t="s">
        <v>46</v>
      </c>
      <c r="B2" s="15" t="s">
        <v>70</v>
      </c>
      <c r="C2" s="68" cm="1">
        <f t="array" ref="C2:V16">'M - All'!C2:V16</f>
        <v>5.8085963982397963</v>
      </c>
      <c r="D2" s="79">
        <v>1570.78</v>
      </c>
      <c r="E2" s="79">
        <v>3037.76</v>
      </c>
      <c r="F2" s="79">
        <v>3245.08</v>
      </c>
      <c r="G2" s="79">
        <v>5283.45</v>
      </c>
      <c r="H2" s="79">
        <v>2038.37</v>
      </c>
      <c r="I2" s="80">
        <v>0.38600000000000001</v>
      </c>
      <c r="J2" s="79">
        <v>1808.67</v>
      </c>
      <c r="K2" s="79">
        <v>4596.0200000000004</v>
      </c>
      <c r="L2" s="79">
        <v>3192.16</v>
      </c>
      <c r="M2" s="79">
        <v>5035.37</v>
      </c>
      <c r="N2" s="79">
        <v>1843.21</v>
      </c>
      <c r="O2" s="80">
        <v>0.36599999999999999</v>
      </c>
      <c r="P2" s="79">
        <v>5286</v>
      </c>
      <c r="Q2" s="79">
        <v>1095.44</v>
      </c>
      <c r="R2" s="79">
        <v>2384.7199999999998</v>
      </c>
      <c r="S2" s="79">
        <v>3389.56</v>
      </c>
      <c r="T2" s="79">
        <v>5531.73</v>
      </c>
      <c r="U2" s="79">
        <v>2142.17</v>
      </c>
      <c r="V2" s="80">
        <v>0.38700000000000001</v>
      </c>
    </row>
    <row r="3" spans="1:22" x14ac:dyDescent="0.25">
      <c r="A3" s="16" t="s">
        <v>48</v>
      </c>
      <c r="B3" s="17" t="s">
        <v>70</v>
      </c>
      <c r="C3" s="68">
        <v>10.067667000539332</v>
      </c>
      <c r="D3" s="79">
        <v>5226.7299999999996</v>
      </c>
      <c r="E3" s="79">
        <v>6252.79</v>
      </c>
      <c r="F3" s="79">
        <v>6229.92</v>
      </c>
      <c r="G3" s="79">
        <v>9310.51</v>
      </c>
      <c r="H3" s="79">
        <v>3080.59</v>
      </c>
      <c r="I3" s="80">
        <v>0.33100000000000002</v>
      </c>
      <c r="J3" s="79">
        <v>6816.23</v>
      </c>
      <c r="K3" s="79">
        <v>6932.06</v>
      </c>
      <c r="L3" s="79">
        <v>7271.02</v>
      </c>
      <c r="M3" s="79">
        <v>10618.43</v>
      </c>
      <c r="N3" s="79">
        <v>3347.41</v>
      </c>
      <c r="O3" s="80">
        <v>0.315</v>
      </c>
      <c r="P3" s="79">
        <v>9312</v>
      </c>
      <c r="Q3" s="79">
        <v>6525.9</v>
      </c>
      <c r="R3" s="79">
        <v>4205.68</v>
      </c>
      <c r="S3" s="79">
        <v>4780.93</v>
      </c>
      <c r="T3" s="79">
        <v>7674.07</v>
      </c>
      <c r="U3" s="79">
        <v>2893.14</v>
      </c>
      <c r="V3" s="80">
        <v>0.377</v>
      </c>
    </row>
    <row r="4" spans="1:22" x14ac:dyDescent="0.25">
      <c r="A4" s="16" t="s">
        <v>49</v>
      </c>
      <c r="B4" s="17" t="s">
        <v>70</v>
      </c>
      <c r="C4" s="68">
        <v>0</v>
      </c>
      <c r="D4" s="79">
        <v>0</v>
      </c>
      <c r="E4" s="79">
        <v>0</v>
      </c>
      <c r="F4" s="79">
        <v>0</v>
      </c>
      <c r="G4" s="79">
        <v>0</v>
      </c>
      <c r="H4" s="79">
        <v>0</v>
      </c>
      <c r="I4" s="80">
        <v>0</v>
      </c>
      <c r="J4" s="79">
        <v>0</v>
      </c>
      <c r="K4" s="79">
        <v>0</v>
      </c>
      <c r="L4" s="79">
        <v>0</v>
      </c>
      <c r="M4" s="79">
        <v>0</v>
      </c>
      <c r="N4" s="79">
        <v>0</v>
      </c>
      <c r="O4" s="80">
        <v>0</v>
      </c>
      <c r="P4" s="79">
        <v>0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v>0</v>
      </c>
    </row>
    <row r="5" spans="1:22" ht="24" x14ac:dyDescent="0.25">
      <c r="A5" s="18" t="s">
        <v>46</v>
      </c>
      <c r="B5" s="19" t="s">
        <v>71</v>
      </c>
      <c r="C5" s="69">
        <v>8.0935438227266232</v>
      </c>
      <c r="D5" s="32">
        <v>20215.439999999999</v>
      </c>
      <c r="E5" s="32">
        <v>32808.06</v>
      </c>
      <c r="F5" s="32">
        <v>29972.69</v>
      </c>
      <c r="G5" s="32">
        <v>49722.2</v>
      </c>
      <c r="H5" s="32">
        <v>19749.509999999998</v>
      </c>
      <c r="I5" s="81">
        <v>0.39700000000000002</v>
      </c>
      <c r="J5" s="32">
        <v>19731.02</v>
      </c>
      <c r="K5" s="32">
        <v>31615.3</v>
      </c>
      <c r="L5" s="32">
        <v>30128.21</v>
      </c>
      <c r="M5" s="32">
        <v>50492.4</v>
      </c>
      <c r="N5" s="32">
        <v>20364.189999999999</v>
      </c>
      <c r="O5" s="81">
        <v>0.40300000000000002</v>
      </c>
      <c r="P5" s="32">
        <v>49727</v>
      </c>
      <c r="Q5" s="32">
        <v>18918.32</v>
      </c>
      <c r="R5" s="32">
        <v>26042.92</v>
      </c>
      <c r="S5" s="32">
        <v>25323.72</v>
      </c>
      <c r="T5" s="32">
        <v>48022.42</v>
      </c>
      <c r="U5" s="32">
        <v>22698.7</v>
      </c>
      <c r="V5" s="81">
        <v>0.47299999999999998</v>
      </c>
    </row>
    <row r="6" spans="1:22" ht="24" x14ac:dyDescent="0.25">
      <c r="A6" s="18" t="s">
        <v>48</v>
      </c>
      <c r="B6" s="19" t="s">
        <v>71</v>
      </c>
      <c r="C6" s="69">
        <v>50.526440760271768</v>
      </c>
      <c r="D6" s="32">
        <v>48729.51</v>
      </c>
      <c r="E6" s="32">
        <v>10124.35</v>
      </c>
      <c r="F6" s="32">
        <v>11573.23</v>
      </c>
      <c r="G6" s="32">
        <v>17693.48</v>
      </c>
      <c r="H6" s="32">
        <v>6120.25</v>
      </c>
      <c r="I6" s="81">
        <v>0.34599999999999997</v>
      </c>
      <c r="J6" s="32">
        <v>55149.88</v>
      </c>
      <c r="K6" s="32">
        <v>8479.81</v>
      </c>
      <c r="L6" s="32">
        <v>14575.94</v>
      </c>
      <c r="M6" s="32">
        <v>22589.78</v>
      </c>
      <c r="N6" s="32">
        <v>8013.84</v>
      </c>
      <c r="O6" s="81">
        <v>0.35499999999999998</v>
      </c>
      <c r="P6" s="32">
        <v>17696</v>
      </c>
      <c r="Q6" s="32">
        <v>55686.41</v>
      </c>
      <c r="R6" s="32">
        <v>185645.64</v>
      </c>
      <c r="S6" s="32">
        <v>16759.62</v>
      </c>
      <c r="T6" s="32">
        <v>24128.19</v>
      </c>
      <c r="U6" s="32">
        <v>7368.57</v>
      </c>
      <c r="V6" s="81">
        <v>0.30499999999999999</v>
      </c>
    </row>
    <row r="7" spans="1:22" ht="24" x14ac:dyDescent="0.25">
      <c r="A7" s="18" t="s">
        <v>49</v>
      </c>
      <c r="B7" s="19" t="s">
        <v>71</v>
      </c>
      <c r="C7" s="69"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81">
        <v>0</v>
      </c>
      <c r="J7" s="32">
        <v>0</v>
      </c>
      <c r="K7" s="32">
        <v>25.62</v>
      </c>
      <c r="L7" s="32">
        <v>22.4</v>
      </c>
      <c r="M7" s="32">
        <v>48.2</v>
      </c>
      <c r="N7" s="32">
        <v>25.8</v>
      </c>
      <c r="O7" s="81">
        <v>0.53500000000000003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v>0</v>
      </c>
    </row>
    <row r="8" spans="1:22" x14ac:dyDescent="0.25">
      <c r="A8" s="20" t="s">
        <v>46</v>
      </c>
      <c r="B8" s="21" t="s">
        <v>72</v>
      </c>
      <c r="C8" s="70">
        <v>21.865889212827991</v>
      </c>
      <c r="D8" s="33">
        <v>150</v>
      </c>
      <c r="E8" s="33">
        <v>65.48</v>
      </c>
      <c r="F8" s="33">
        <v>82.32</v>
      </c>
      <c r="G8" s="33">
        <v>194.89</v>
      </c>
      <c r="H8" s="33">
        <v>112.57</v>
      </c>
      <c r="I8" s="82">
        <v>0.57799999999999996</v>
      </c>
      <c r="J8" s="33">
        <v>163</v>
      </c>
      <c r="K8" s="33">
        <v>143</v>
      </c>
      <c r="L8" s="33">
        <v>173.03</v>
      </c>
      <c r="M8" s="33">
        <v>269.87</v>
      </c>
      <c r="N8" s="33">
        <v>96.84</v>
      </c>
      <c r="O8" s="82">
        <v>0.35899999999999999</v>
      </c>
      <c r="P8" s="33">
        <v>195</v>
      </c>
      <c r="Q8" s="33">
        <v>193.5</v>
      </c>
      <c r="R8" s="33">
        <v>192</v>
      </c>
      <c r="S8" s="33">
        <v>216.2</v>
      </c>
      <c r="T8" s="33">
        <v>391.55</v>
      </c>
      <c r="U8" s="33">
        <v>175.35</v>
      </c>
      <c r="V8" s="82">
        <v>0.44800000000000001</v>
      </c>
    </row>
    <row r="9" spans="1:22" x14ac:dyDescent="0.25">
      <c r="A9" s="20" t="s">
        <v>48</v>
      </c>
      <c r="B9" s="21" t="s">
        <v>72</v>
      </c>
      <c r="C9" s="70">
        <v>137.08467153284673</v>
      </c>
      <c r="D9" s="33">
        <v>313.01</v>
      </c>
      <c r="E9" s="33">
        <v>-20.48</v>
      </c>
      <c r="F9" s="33">
        <v>27.4</v>
      </c>
      <c r="G9" s="33">
        <v>119.31</v>
      </c>
      <c r="H9" s="33">
        <v>91.91</v>
      </c>
      <c r="I9" s="82">
        <v>0.77</v>
      </c>
      <c r="J9" s="33">
        <v>521.80999999999995</v>
      </c>
      <c r="K9" s="33">
        <v>0</v>
      </c>
      <c r="L9" s="33">
        <v>79.05</v>
      </c>
      <c r="M9" s="33">
        <v>282.69</v>
      </c>
      <c r="N9" s="33">
        <v>203.64</v>
      </c>
      <c r="O9" s="82">
        <v>0.72</v>
      </c>
      <c r="P9" s="33">
        <v>119</v>
      </c>
      <c r="Q9" s="33">
        <v>686.91</v>
      </c>
      <c r="R9" s="33">
        <v>0</v>
      </c>
      <c r="S9" s="33">
        <v>47.34</v>
      </c>
      <c r="T9" s="33">
        <v>145.07</v>
      </c>
      <c r="U9" s="33">
        <v>97.73</v>
      </c>
      <c r="V9" s="82">
        <v>0.67400000000000004</v>
      </c>
    </row>
    <row r="10" spans="1:22" x14ac:dyDescent="0.25">
      <c r="A10" s="20" t="s">
        <v>49</v>
      </c>
      <c r="B10" s="21" t="s">
        <v>72</v>
      </c>
      <c r="C10" s="70"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82"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82"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v>0</v>
      </c>
    </row>
    <row r="11" spans="1:22" x14ac:dyDescent="0.25">
      <c r="A11" s="22" t="s">
        <v>46</v>
      </c>
      <c r="B11" s="23" t="s">
        <v>73</v>
      </c>
      <c r="C11" s="71">
        <v>8.0208698021319336</v>
      </c>
      <c r="D11" s="34">
        <v>981.32</v>
      </c>
      <c r="E11" s="34">
        <v>1619.92</v>
      </c>
      <c r="F11" s="34">
        <v>1468.15</v>
      </c>
      <c r="G11" s="34">
        <v>2409.0700000000002</v>
      </c>
      <c r="H11" s="34">
        <v>940.92</v>
      </c>
      <c r="I11" s="83">
        <v>0.39100000000000001</v>
      </c>
      <c r="J11" s="34">
        <v>1073.47</v>
      </c>
      <c r="K11" s="34">
        <v>2087.85</v>
      </c>
      <c r="L11" s="34">
        <v>2075.54</v>
      </c>
      <c r="M11" s="34">
        <v>3366.08</v>
      </c>
      <c r="N11" s="34">
        <v>1290.54</v>
      </c>
      <c r="O11" s="83">
        <v>0.38300000000000001</v>
      </c>
      <c r="P11" s="34">
        <v>2409</v>
      </c>
      <c r="Q11" s="34">
        <v>941.54</v>
      </c>
      <c r="R11" s="34">
        <v>3766.95</v>
      </c>
      <c r="S11" s="34">
        <v>4339.04</v>
      </c>
      <c r="T11" s="34">
        <v>6442.17</v>
      </c>
      <c r="U11" s="34">
        <v>2103.13</v>
      </c>
      <c r="V11" s="83">
        <v>0.32600000000000001</v>
      </c>
    </row>
    <row r="12" spans="1:22" x14ac:dyDescent="0.25">
      <c r="A12" s="22" t="s">
        <v>48</v>
      </c>
      <c r="B12" s="23" t="s">
        <v>73</v>
      </c>
      <c r="C12" s="71">
        <v>3.0479944747587759</v>
      </c>
      <c r="D12" s="34">
        <v>1257.76</v>
      </c>
      <c r="E12" s="34">
        <v>5424.42</v>
      </c>
      <c r="F12" s="34">
        <v>4951.82</v>
      </c>
      <c r="G12" s="34">
        <v>6902.37</v>
      </c>
      <c r="H12" s="34">
        <v>1950.55</v>
      </c>
      <c r="I12" s="83">
        <v>0.28299999999999997</v>
      </c>
      <c r="J12" s="34">
        <v>991.41</v>
      </c>
      <c r="K12" s="34">
        <v>1887.89</v>
      </c>
      <c r="L12" s="34">
        <v>1131.08</v>
      </c>
      <c r="M12" s="34">
        <v>1840.45</v>
      </c>
      <c r="N12" s="34">
        <v>709.37</v>
      </c>
      <c r="O12" s="83">
        <v>0.38500000000000001</v>
      </c>
      <c r="P12" s="34">
        <v>6902</v>
      </c>
      <c r="Q12" s="34">
        <v>1747.08</v>
      </c>
      <c r="R12" s="34">
        <v>2472.7600000000002</v>
      </c>
      <c r="S12" s="34">
        <v>3171.83</v>
      </c>
      <c r="T12" s="34">
        <v>4434.6499999999996</v>
      </c>
      <c r="U12" s="34">
        <v>1262.82</v>
      </c>
      <c r="V12" s="83">
        <v>0.28499999999999998</v>
      </c>
    </row>
    <row r="13" spans="1:22" x14ac:dyDescent="0.25">
      <c r="A13" s="22" t="s">
        <v>49</v>
      </c>
      <c r="B13" s="23" t="s">
        <v>73</v>
      </c>
      <c r="C13" s="71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83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83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v>0</v>
      </c>
    </row>
    <row r="14" spans="1:22" x14ac:dyDescent="0.25">
      <c r="A14" s="24" t="s">
        <v>46</v>
      </c>
      <c r="B14" s="25" t="s">
        <v>74</v>
      </c>
      <c r="C14" s="72">
        <v>2.9460062562387392</v>
      </c>
      <c r="D14" s="35">
        <v>6067.43</v>
      </c>
      <c r="E14" s="35">
        <v>26160.62</v>
      </c>
      <c r="F14" s="35">
        <v>24714.53</v>
      </c>
      <c r="G14" s="35">
        <v>42441.87</v>
      </c>
      <c r="H14" s="35">
        <v>17727.34</v>
      </c>
      <c r="I14" s="84">
        <v>0.41799999999999998</v>
      </c>
      <c r="J14" s="35">
        <v>5307.07</v>
      </c>
      <c r="K14" s="35">
        <v>21030.12</v>
      </c>
      <c r="L14" s="35">
        <v>22400.84</v>
      </c>
      <c r="M14" s="35">
        <v>38036.71</v>
      </c>
      <c r="N14" s="35">
        <v>15635.87</v>
      </c>
      <c r="O14" s="84">
        <v>0.41099999999999998</v>
      </c>
      <c r="P14" s="35">
        <v>42444</v>
      </c>
      <c r="Q14" s="35">
        <v>7378.49</v>
      </c>
      <c r="R14" s="35">
        <v>26467.59</v>
      </c>
      <c r="S14" s="35">
        <v>25529.63</v>
      </c>
      <c r="T14" s="35">
        <v>42425.66</v>
      </c>
      <c r="U14" s="35">
        <v>16896.03</v>
      </c>
      <c r="V14" s="84">
        <v>0.39800000000000002</v>
      </c>
    </row>
    <row r="15" spans="1:22" x14ac:dyDescent="0.25">
      <c r="A15" s="24" t="s">
        <v>48</v>
      </c>
      <c r="B15" s="25" t="s">
        <v>74</v>
      </c>
      <c r="C15" s="72">
        <v>3.3740557582103654</v>
      </c>
      <c r="D15" s="35">
        <v>14822.48</v>
      </c>
      <c r="E15" s="35">
        <v>54606.47</v>
      </c>
      <c r="F15" s="35">
        <v>52716.9</v>
      </c>
      <c r="G15" s="35">
        <v>84722.02</v>
      </c>
      <c r="H15" s="35">
        <v>32005.119999999999</v>
      </c>
      <c r="I15" s="84">
        <v>0.378</v>
      </c>
      <c r="J15" s="35">
        <v>14054.1</v>
      </c>
      <c r="K15" s="35">
        <v>51312.21</v>
      </c>
      <c r="L15" s="35">
        <v>55257</v>
      </c>
      <c r="M15" s="35">
        <v>92435.72</v>
      </c>
      <c r="N15" s="35">
        <v>37178.720000000001</v>
      </c>
      <c r="O15" s="84">
        <v>0.40200000000000002</v>
      </c>
      <c r="P15" s="35">
        <v>84722</v>
      </c>
      <c r="Q15" s="35">
        <v>19145.34</v>
      </c>
      <c r="R15" s="35">
        <v>69004.77</v>
      </c>
      <c r="S15" s="35">
        <v>74652.929999999993</v>
      </c>
      <c r="T15" s="35">
        <v>121610.12</v>
      </c>
      <c r="U15" s="35">
        <v>46957.19</v>
      </c>
      <c r="V15" s="84">
        <v>0.38600000000000001</v>
      </c>
    </row>
    <row r="16" spans="1:22" ht="15.75" thickBot="1" x14ac:dyDescent="0.3">
      <c r="A16" s="24" t="s">
        <v>49</v>
      </c>
      <c r="B16" s="25" t="s">
        <v>74</v>
      </c>
      <c r="C16" s="72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84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v>0</v>
      </c>
    </row>
    <row r="17" spans="1:22" s="3" customFormat="1" ht="15.75" thickBot="1" x14ac:dyDescent="0.3">
      <c r="A17" s="2"/>
      <c r="B17" s="87" t="s">
        <v>59</v>
      </c>
      <c r="C17" s="89">
        <f>IF(D17=0,0,(D17/(F17/12)))</f>
        <v>8.8309046151621331</v>
      </c>
      <c r="D17" s="6">
        <f>SUM(D2:D16)</f>
        <v>99334.459999999977</v>
      </c>
      <c r="E17" s="6">
        <f>SUM(E2:E16)</f>
        <v>140079.39000000001</v>
      </c>
      <c r="F17" s="6">
        <f>SUM(F2:F16)</f>
        <v>134982.04</v>
      </c>
      <c r="G17" s="6">
        <f>SUM(G2:G16)</f>
        <v>218799.16999999998</v>
      </c>
      <c r="H17" s="63">
        <f>SUM(H2:H16)</f>
        <v>83817.12999999999</v>
      </c>
      <c r="I17" s="90">
        <f>IF(G17=0,0,(1-(F17/G17)))</f>
        <v>0.38307791569776051</v>
      </c>
      <c r="J17" s="63">
        <f>SUM(J2:J16)</f>
        <v>105616.66</v>
      </c>
      <c r="K17" s="63">
        <f>SUM(K2:K16)</f>
        <v>128109.88</v>
      </c>
      <c r="L17" s="63">
        <f>SUM(L2:L16)</f>
        <v>136306.27000000002</v>
      </c>
      <c r="M17" s="63">
        <f>SUM(M2:M16)</f>
        <v>225015.69999999998</v>
      </c>
      <c r="N17" s="63">
        <f>SUM(N2:N16)</f>
        <v>88709.43</v>
      </c>
      <c r="O17" s="90">
        <f>IF(M17=0,0,(1-(L17/M17)))</f>
        <v>0.39423662437776552</v>
      </c>
      <c r="P17" s="63">
        <f t="shared" ref="P17:U17" si="0">SUM(P2:P16)</f>
        <v>218812</v>
      </c>
      <c r="Q17" s="63">
        <f t="shared" si="0"/>
        <v>112318.93000000001</v>
      </c>
      <c r="R17" s="63">
        <f t="shared" si="0"/>
        <v>320183.03000000003</v>
      </c>
      <c r="S17" s="63">
        <f t="shared" si="0"/>
        <v>158210.79999999999</v>
      </c>
      <c r="T17" s="63">
        <f t="shared" si="0"/>
        <v>260805.63</v>
      </c>
      <c r="U17" s="63">
        <f t="shared" si="0"/>
        <v>102594.83</v>
      </c>
      <c r="V17" s="90">
        <f>IF(T17=0,0,(1-(S17/T17)))</f>
        <v>0.3933765923688074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B1A57-1E54-44D4-8F3D-6049E2A1991B}">
  <sheetPr>
    <tabColor theme="9" tint="0.59999389629810485"/>
  </sheetPr>
  <dimension ref="A1:V14"/>
  <sheetViews>
    <sheetView zoomScale="90" zoomScaleNormal="90" workbookViewId="0">
      <selection activeCell="B2" sqref="B2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2.57031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2.5703125" bestFit="1" customWidth="1"/>
    <col min="15" max="15" width="8.7109375" style="78" bestFit="1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2.5703125" bestFit="1" customWidth="1"/>
    <col min="22" max="22" width="8.7109375" style="78" bestFit="1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26" t="s">
        <v>46</v>
      </c>
      <c r="B2" s="27" t="s">
        <v>75</v>
      </c>
      <c r="C2" s="73" cm="1">
        <f t="array" ref="C2:V13">'M - All'!C17:V28</f>
        <v>0.11235709561917104</v>
      </c>
      <c r="D2" s="36">
        <v>527.1</v>
      </c>
      <c r="E2" s="36">
        <v>57340.79</v>
      </c>
      <c r="F2" s="36">
        <v>56295.51</v>
      </c>
      <c r="G2" s="36">
        <v>74709.759999999995</v>
      </c>
      <c r="H2" s="36">
        <v>18414.25</v>
      </c>
      <c r="I2" s="85">
        <v>0.246</v>
      </c>
      <c r="J2" s="36">
        <v>528.52</v>
      </c>
      <c r="K2" s="36">
        <v>28654.53</v>
      </c>
      <c r="L2" s="36">
        <v>28273.32</v>
      </c>
      <c r="M2" s="36">
        <v>38211.99</v>
      </c>
      <c r="N2" s="36">
        <v>9938.67</v>
      </c>
      <c r="O2" s="85">
        <v>0.26</v>
      </c>
      <c r="P2" s="36">
        <v>74721</v>
      </c>
      <c r="Q2" s="36">
        <v>382.54</v>
      </c>
      <c r="R2" s="36">
        <v>19125.650000000001</v>
      </c>
      <c r="S2" s="36">
        <v>19128.97</v>
      </c>
      <c r="T2" s="36">
        <v>25695.599999999999</v>
      </c>
      <c r="U2" s="36">
        <v>6566.63</v>
      </c>
      <c r="V2" s="85">
        <v>0.25600000000000001</v>
      </c>
    </row>
    <row r="3" spans="1:22" x14ac:dyDescent="0.25">
      <c r="A3" s="26" t="s">
        <v>48</v>
      </c>
      <c r="B3" s="27" t="s">
        <v>75</v>
      </c>
      <c r="C3" s="73">
        <v>0.41597148216696322</v>
      </c>
      <c r="D3" s="36">
        <v>40086.050000000003</v>
      </c>
      <c r="E3" s="36">
        <v>1078579.83</v>
      </c>
      <c r="F3" s="36">
        <v>1156407.6399999999</v>
      </c>
      <c r="G3" s="36">
        <v>1409678.57</v>
      </c>
      <c r="H3" s="36">
        <v>253270.93</v>
      </c>
      <c r="I3" s="85">
        <v>0.18</v>
      </c>
      <c r="J3" s="36">
        <v>123701.24</v>
      </c>
      <c r="K3" s="36">
        <v>1171927.69</v>
      </c>
      <c r="L3" s="36">
        <v>1108963.48</v>
      </c>
      <c r="M3" s="36">
        <v>1355354.83</v>
      </c>
      <c r="N3" s="36">
        <v>246391.35</v>
      </c>
      <c r="O3" s="85">
        <v>0.182</v>
      </c>
      <c r="P3" s="36">
        <v>1409700</v>
      </c>
      <c r="Q3" s="36">
        <v>59301.86</v>
      </c>
      <c r="R3" s="36">
        <v>807637.2</v>
      </c>
      <c r="S3" s="36">
        <v>1038578.26</v>
      </c>
      <c r="T3" s="36">
        <v>1231234.44</v>
      </c>
      <c r="U3" s="36">
        <v>192656.18</v>
      </c>
      <c r="V3" s="85">
        <v>0.156</v>
      </c>
    </row>
    <row r="4" spans="1:22" x14ac:dyDescent="0.25">
      <c r="A4" s="26" t="s">
        <v>49</v>
      </c>
      <c r="B4" s="27" t="s">
        <v>75</v>
      </c>
      <c r="C4" s="73">
        <v>0</v>
      </c>
      <c r="D4" s="36">
        <v>0</v>
      </c>
      <c r="E4" s="36">
        <v>0</v>
      </c>
      <c r="F4" s="36">
        <v>0</v>
      </c>
      <c r="G4" s="36">
        <v>0</v>
      </c>
      <c r="H4" s="36">
        <v>0</v>
      </c>
      <c r="I4" s="85">
        <v>0</v>
      </c>
      <c r="J4" s="36">
        <v>0</v>
      </c>
      <c r="K4" s="36">
        <v>0</v>
      </c>
      <c r="L4" s="36">
        <v>0</v>
      </c>
      <c r="M4" s="36">
        <v>0</v>
      </c>
      <c r="N4" s="36">
        <v>0</v>
      </c>
      <c r="O4" s="85">
        <v>0</v>
      </c>
      <c r="P4" s="36">
        <v>0</v>
      </c>
      <c r="Q4" s="36">
        <v>0</v>
      </c>
      <c r="R4" s="36">
        <v>0</v>
      </c>
      <c r="S4" s="36">
        <v>0</v>
      </c>
      <c r="T4" s="36">
        <v>0</v>
      </c>
      <c r="U4" s="36">
        <v>0</v>
      </c>
      <c r="V4" s="85">
        <v>0</v>
      </c>
    </row>
    <row r="5" spans="1:22" x14ac:dyDescent="0.25">
      <c r="A5" s="28" t="s">
        <v>46</v>
      </c>
      <c r="B5" s="29" t="s">
        <v>76</v>
      </c>
      <c r="C5" s="74">
        <v>2.3827285019917408</v>
      </c>
      <c r="D5" s="37">
        <v>3259.93</v>
      </c>
      <c r="E5" s="37">
        <v>19949.150000000001</v>
      </c>
      <c r="F5" s="37">
        <v>16417.8</v>
      </c>
      <c r="G5" s="37">
        <v>21529.040000000001</v>
      </c>
      <c r="H5" s="37">
        <v>5111.24</v>
      </c>
      <c r="I5" s="86">
        <v>0.23699999999999999</v>
      </c>
      <c r="J5" s="37">
        <v>0</v>
      </c>
      <c r="K5" s="37">
        <v>12629.05</v>
      </c>
      <c r="L5" s="37">
        <v>12625.43</v>
      </c>
      <c r="M5" s="37">
        <v>16640.68</v>
      </c>
      <c r="N5" s="37">
        <v>4015.25</v>
      </c>
      <c r="O5" s="86">
        <v>0.24099999999999999</v>
      </c>
      <c r="P5" s="37">
        <v>21531</v>
      </c>
      <c r="Q5" s="37">
        <v>0</v>
      </c>
      <c r="R5" s="37">
        <v>6072.08</v>
      </c>
      <c r="S5" s="37">
        <v>6629.23</v>
      </c>
      <c r="T5" s="37">
        <v>8735.01</v>
      </c>
      <c r="U5" s="37">
        <v>2105.7800000000002</v>
      </c>
      <c r="V5" s="86">
        <v>0.24099999999999999</v>
      </c>
    </row>
    <row r="6" spans="1:22" x14ac:dyDescent="0.25">
      <c r="A6" s="28" t="s">
        <v>48</v>
      </c>
      <c r="B6" s="29" t="s">
        <v>76</v>
      </c>
      <c r="C6" s="74">
        <v>0.48103447505155733</v>
      </c>
      <c r="D6" s="37">
        <v>18293.98</v>
      </c>
      <c r="E6" s="37">
        <v>456118.64</v>
      </c>
      <c r="F6" s="37">
        <v>456365.96</v>
      </c>
      <c r="G6" s="37">
        <v>585460.99</v>
      </c>
      <c r="H6" s="37">
        <v>129095.03</v>
      </c>
      <c r="I6" s="86">
        <v>0.221</v>
      </c>
      <c r="J6" s="37">
        <v>21649.47</v>
      </c>
      <c r="K6" s="37">
        <v>476694.08</v>
      </c>
      <c r="L6" s="37">
        <v>473414.53</v>
      </c>
      <c r="M6" s="37">
        <v>600484.15</v>
      </c>
      <c r="N6" s="37">
        <v>127069.62</v>
      </c>
      <c r="O6" s="86">
        <v>0.21199999999999999</v>
      </c>
      <c r="P6" s="37">
        <v>585489</v>
      </c>
      <c r="Q6" s="37">
        <v>19444.330000000002</v>
      </c>
      <c r="R6" s="37">
        <v>566855.18000000005</v>
      </c>
      <c r="S6" s="37">
        <v>567225.48</v>
      </c>
      <c r="T6" s="37">
        <v>723144.71</v>
      </c>
      <c r="U6" s="37">
        <v>155919.23000000001</v>
      </c>
      <c r="V6" s="86">
        <v>0.216</v>
      </c>
    </row>
    <row r="7" spans="1:22" x14ac:dyDescent="0.25">
      <c r="A7" s="28" t="s">
        <v>49</v>
      </c>
      <c r="B7" s="29" t="s">
        <v>76</v>
      </c>
      <c r="C7" s="74">
        <v>0</v>
      </c>
      <c r="D7" s="37">
        <v>0</v>
      </c>
      <c r="E7" s="37">
        <v>0</v>
      </c>
      <c r="F7" s="37">
        <v>0</v>
      </c>
      <c r="G7" s="37">
        <v>0</v>
      </c>
      <c r="H7" s="37">
        <v>0</v>
      </c>
      <c r="I7" s="86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86">
        <v>0</v>
      </c>
      <c r="P7" s="37">
        <v>0</v>
      </c>
      <c r="Q7" s="37">
        <v>0</v>
      </c>
      <c r="R7" s="37">
        <v>0</v>
      </c>
      <c r="S7" s="37">
        <v>0</v>
      </c>
      <c r="T7" s="37">
        <v>0</v>
      </c>
      <c r="U7" s="37">
        <v>0</v>
      </c>
      <c r="V7" s="86">
        <v>0</v>
      </c>
    </row>
    <row r="8" spans="1:22" x14ac:dyDescent="0.25">
      <c r="A8" s="16" t="s">
        <v>46</v>
      </c>
      <c r="B8" s="17" t="s">
        <v>77</v>
      </c>
      <c r="C8" s="68">
        <v>0</v>
      </c>
      <c r="D8" s="79">
        <v>0</v>
      </c>
      <c r="E8" s="79">
        <v>21151.86</v>
      </c>
      <c r="F8" s="79">
        <v>21166.49</v>
      </c>
      <c r="G8" s="79">
        <v>29716.45</v>
      </c>
      <c r="H8" s="79">
        <v>8549.9599999999991</v>
      </c>
      <c r="I8" s="80">
        <v>0.28799999999999998</v>
      </c>
      <c r="J8" s="79">
        <v>0</v>
      </c>
      <c r="K8" s="79">
        <v>13363.32</v>
      </c>
      <c r="L8" s="79">
        <v>13363.32</v>
      </c>
      <c r="M8" s="79">
        <v>17188.82</v>
      </c>
      <c r="N8" s="79">
        <v>3825.5</v>
      </c>
      <c r="O8" s="80">
        <v>0.223</v>
      </c>
      <c r="P8" s="79">
        <v>29720</v>
      </c>
      <c r="Q8" s="79">
        <v>0</v>
      </c>
      <c r="R8" s="79">
        <v>14284.29</v>
      </c>
      <c r="S8" s="79">
        <v>14467.65</v>
      </c>
      <c r="T8" s="79">
        <v>19070.009999999998</v>
      </c>
      <c r="U8" s="79">
        <v>4602.3599999999997</v>
      </c>
      <c r="V8" s="80">
        <v>0.24099999999999999</v>
      </c>
    </row>
    <row r="9" spans="1:22" x14ac:dyDescent="0.25">
      <c r="A9" s="16" t="s">
        <v>48</v>
      </c>
      <c r="B9" s="17" t="s">
        <v>77</v>
      </c>
      <c r="C9" s="68">
        <v>0.13205819783858253</v>
      </c>
      <c r="D9" s="79">
        <v>3058.35</v>
      </c>
      <c r="E9" s="79">
        <v>268673.31</v>
      </c>
      <c r="F9" s="79">
        <v>277909.28999999998</v>
      </c>
      <c r="G9" s="79">
        <v>363023.72</v>
      </c>
      <c r="H9" s="79">
        <v>85114.43</v>
      </c>
      <c r="I9" s="80">
        <v>0.23400000000000001</v>
      </c>
      <c r="J9" s="79">
        <v>11132.61</v>
      </c>
      <c r="K9" s="79">
        <v>377398.59</v>
      </c>
      <c r="L9" s="79">
        <v>374429.16</v>
      </c>
      <c r="M9" s="79">
        <v>475237.38</v>
      </c>
      <c r="N9" s="79">
        <v>100808.22</v>
      </c>
      <c r="O9" s="80">
        <v>0.21199999999999999</v>
      </c>
      <c r="P9" s="79">
        <v>363021</v>
      </c>
      <c r="Q9" s="79">
        <v>6881.43</v>
      </c>
      <c r="R9" s="79">
        <v>297214.01</v>
      </c>
      <c r="S9" s="79">
        <v>294481.87</v>
      </c>
      <c r="T9" s="79">
        <v>389667.82</v>
      </c>
      <c r="U9" s="79">
        <v>95185.95</v>
      </c>
      <c r="V9" s="80">
        <v>0.24399999999999999</v>
      </c>
    </row>
    <row r="10" spans="1:22" x14ac:dyDescent="0.25">
      <c r="A10" s="16" t="s">
        <v>49</v>
      </c>
      <c r="B10" s="17" t="s">
        <v>77</v>
      </c>
      <c r="C10" s="68">
        <v>0</v>
      </c>
      <c r="D10" s="79">
        <v>0</v>
      </c>
      <c r="E10" s="79">
        <v>0</v>
      </c>
      <c r="F10" s="79">
        <v>0</v>
      </c>
      <c r="G10" s="79">
        <v>0</v>
      </c>
      <c r="H10" s="79">
        <v>0</v>
      </c>
      <c r="I10" s="80">
        <v>0</v>
      </c>
      <c r="J10" s="79">
        <v>0</v>
      </c>
      <c r="K10" s="79">
        <v>0</v>
      </c>
      <c r="L10" s="79">
        <v>0</v>
      </c>
      <c r="M10" s="79">
        <v>0</v>
      </c>
      <c r="N10" s="79">
        <v>0</v>
      </c>
      <c r="O10" s="80">
        <v>0</v>
      </c>
      <c r="P10" s="79">
        <v>0</v>
      </c>
      <c r="Q10" s="79">
        <v>0</v>
      </c>
      <c r="R10" s="79">
        <v>0</v>
      </c>
      <c r="S10" s="79">
        <v>0</v>
      </c>
      <c r="T10" s="79">
        <v>0</v>
      </c>
      <c r="U10" s="79">
        <v>0</v>
      </c>
      <c r="V10" s="80">
        <v>0</v>
      </c>
    </row>
    <row r="11" spans="1:22" x14ac:dyDescent="0.25">
      <c r="A11" s="18" t="s">
        <v>46</v>
      </c>
      <c r="B11" s="19" t="s">
        <v>78</v>
      </c>
      <c r="C11" s="69">
        <v>0</v>
      </c>
      <c r="D11" s="32">
        <v>0</v>
      </c>
      <c r="E11" s="32">
        <v>1662.15</v>
      </c>
      <c r="F11" s="32">
        <v>1652.35</v>
      </c>
      <c r="G11" s="32">
        <v>2073.1999999999998</v>
      </c>
      <c r="H11" s="32">
        <v>420.85</v>
      </c>
      <c r="I11" s="81">
        <v>0.20300000000000001</v>
      </c>
      <c r="J11" s="32">
        <v>0</v>
      </c>
      <c r="K11" s="32">
        <v>11.4</v>
      </c>
      <c r="L11" s="32">
        <v>11.4</v>
      </c>
      <c r="M11" s="32">
        <v>14.82</v>
      </c>
      <c r="N11" s="32">
        <v>3.42</v>
      </c>
      <c r="O11" s="81">
        <v>0.23100000000000001</v>
      </c>
      <c r="P11" s="32">
        <v>2073</v>
      </c>
      <c r="Q11" s="32">
        <v>0</v>
      </c>
      <c r="R11" s="32">
        <v>126612.97</v>
      </c>
      <c r="S11" s="32">
        <v>14.7</v>
      </c>
      <c r="T11" s="32">
        <v>5</v>
      </c>
      <c r="U11" s="32">
        <v>-9.6999999999999993</v>
      </c>
      <c r="V11" s="81">
        <v>-1.94</v>
      </c>
    </row>
    <row r="12" spans="1:22" x14ac:dyDescent="0.25">
      <c r="A12" s="18" t="s">
        <v>48</v>
      </c>
      <c r="B12" s="19" t="s">
        <v>78</v>
      </c>
      <c r="C12" s="69">
        <v>0.55124506953420094</v>
      </c>
      <c r="D12" s="32">
        <v>5768.38</v>
      </c>
      <c r="E12" s="32">
        <v>118969.67</v>
      </c>
      <c r="F12" s="32">
        <v>125571.3</v>
      </c>
      <c r="G12" s="32">
        <v>158600.64000000001</v>
      </c>
      <c r="H12" s="32">
        <v>33029.339999999997</v>
      </c>
      <c r="I12" s="81">
        <v>0.20799999999999999</v>
      </c>
      <c r="J12" s="32">
        <v>12566.78</v>
      </c>
      <c r="K12" s="32">
        <v>127912.23</v>
      </c>
      <c r="L12" s="32">
        <v>119691.87</v>
      </c>
      <c r="M12" s="32">
        <v>150595.92000000001</v>
      </c>
      <c r="N12" s="32">
        <v>30904.05</v>
      </c>
      <c r="O12" s="81">
        <v>0.20499999999999999</v>
      </c>
      <c r="P12" s="32">
        <v>158609</v>
      </c>
      <c r="Q12" s="32">
        <v>3865.77</v>
      </c>
      <c r="R12" s="32">
        <v>143992.19</v>
      </c>
      <c r="S12" s="32">
        <v>156156.19</v>
      </c>
      <c r="T12" s="32">
        <v>196461.17</v>
      </c>
      <c r="U12" s="32">
        <v>40304.980000000003</v>
      </c>
      <c r="V12" s="81">
        <v>0.20499999999999999</v>
      </c>
    </row>
    <row r="13" spans="1:22" ht="15.75" thickBot="1" x14ac:dyDescent="0.3">
      <c r="A13" s="18" t="s">
        <v>49</v>
      </c>
      <c r="B13" s="19" t="s">
        <v>78</v>
      </c>
      <c r="C13" s="69">
        <v>0</v>
      </c>
      <c r="D13" s="32">
        <v>0</v>
      </c>
      <c r="E13" s="32">
        <v>0</v>
      </c>
      <c r="F13" s="32">
        <v>0</v>
      </c>
      <c r="G13" s="32">
        <v>0</v>
      </c>
      <c r="H13" s="32">
        <v>0</v>
      </c>
      <c r="I13" s="81">
        <v>0</v>
      </c>
      <c r="J13" s="32">
        <v>0</v>
      </c>
      <c r="K13" s="32">
        <v>0</v>
      </c>
      <c r="L13" s="32">
        <v>0</v>
      </c>
      <c r="M13" s="32">
        <v>0</v>
      </c>
      <c r="N13" s="32">
        <v>0</v>
      </c>
      <c r="O13" s="81">
        <v>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81">
        <v>0</v>
      </c>
    </row>
    <row r="14" spans="1:22" s="3" customFormat="1" ht="15.75" thickBot="1" x14ac:dyDescent="0.3">
      <c r="A14" s="2"/>
      <c r="B14" s="87" t="s">
        <v>59</v>
      </c>
      <c r="C14" s="89">
        <f>IF(D14=0,0,(D14/(F14/12)))</f>
        <v>0.4034146181663435</v>
      </c>
      <c r="D14" s="6">
        <f>SUM(D2:D13)</f>
        <v>70993.789999999994</v>
      </c>
      <c r="E14" s="6">
        <f>SUM(E2:E13)</f>
        <v>2022445.4000000001</v>
      </c>
      <c r="F14" s="6">
        <f>SUM(F2:F13)</f>
        <v>2111786.34</v>
      </c>
      <c r="G14" s="6">
        <f>SUM(G2:G13)</f>
        <v>2644792.3700000006</v>
      </c>
      <c r="H14" s="63">
        <f>SUM(H2:H13)</f>
        <v>533006.02999999991</v>
      </c>
      <c r="I14" s="90">
        <f>IF(G14=0,0,(1-(F14/G14)))</f>
        <v>0.20153038705265192</v>
      </c>
      <c r="J14" s="63">
        <f>SUM(J2:J13)</f>
        <v>169578.62000000002</v>
      </c>
      <c r="K14" s="63">
        <f>SUM(K2:K13)</f>
        <v>2208590.89</v>
      </c>
      <c r="L14" s="63">
        <f>SUM(L2:L13)</f>
        <v>2130772.5099999998</v>
      </c>
      <c r="M14" s="63">
        <f>SUM(M2:M13)</f>
        <v>2653728.59</v>
      </c>
      <c r="N14" s="63">
        <f>SUM(N2:N13)</f>
        <v>522956.07999999996</v>
      </c>
      <c r="O14" s="90">
        <f>IF(M14=0,0,(1-(L14/M14)))</f>
        <v>0.19706464405238977</v>
      </c>
      <c r="P14" s="63">
        <f t="shared" ref="P14:U14" si="0">SUM(P2:P13)</f>
        <v>2644864</v>
      </c>
      <c r="Q14" s="63">
        <f t="shared" si="0"/>
        <v>89875.930000000008</v>
      </c>
      <c r="R14" s="63">
        <f t="shared" si="0"/>
        <v>1981793.5699999998</v>
      </c>
      <c r="S14" s="63">
        <f t="shared" si="0"/>
        <v>2096682.3499999999</v>
      </c>
      <c r="T14" s="63">
        <f t="shared" si="0"/>
        <v>2594013.7599999998</v>
      </c>
      <c r="U14" s="63">
        <f t="shared" si="0"/>
        <v>497331.41</v>
      </c>
      <c r="V14" s="90">
        <f>IF(T14=0,0,(1-(S14/T14)))</f>
        <v>0.1917227339611336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22773-6255-4D17-B400-927B5E8F5F26}">
  <sheetPr>
    <tabColor theme="9" tint="0.39997558519241921"/>
  </sheetPr>
  <dimension ref="A1:V50"/>
  <sheetViews>
    <sheetView zoomScale="90" zoomScaleNormal="90" workbookViewId="0">
      <pane ySplit="1" topLeftCell="A2" activePane="bottomLeft" state="frozen"/>
      <selection pane="bottomLeft" activeCell="P44" sqref="P44:U49"/>
    </sheetView>
  </sheetViews>
  <sheetFormatPr defaultColWidth="9.140625" defaultRowHeight="15" x14ac:dyDescent="0.25"/>
  <cols>
    <col min="1" max="1" width="4.85546875" style="1" customWidth="1"/>
    <col min="2" max="2" width="28.28515625" style="1" bestFit="1" customWidth="1"/>
    <col min="3" max="3" width="10.28515625" style="5" bestFit="1" customWidth="1"/>
    <col min="4" max="4" width="15.28515625" style="1" bestFit="1" customWidth="1"/>
    <col min="5" max="5" width="20.28515625" style="1" bestFit="1" customWidth="1"/>
    <col min="6" max="6" width="15.85546875" style="1" bestFit="1" customWidth="1"/>
    <col min="7" max="7" width="16.85546875" style="1" bestFit="1" customWidth="1"/>
    <col min="8" max="8" width="14.28515625" style="1" bestFit="1" customWidth="1"/>
    <col min="9" max="9" width="8.28515625" style="78" customWidth="1"/>
    <col min="10" max="10" width="15.28515625" bestFit="1" customWidth="1"/>
    <col min="11" max="11" width="20.28515625" bestFit="1" customWidth="1"/>
    <col min="12" max="12" width="15.85546875" bestFit="1" customWidth="1"/>
    <col min="13" max="13" width="16.85546875" bestFit="1" customWidth="1"/>
    <col min="14" max="14" width="14.28515625" bestFit="1" customWidth="1"/>
    <col min="15" max="15" width="8.7109375" style="78" customWidth="1"/>
    <col min="16" max="16" width="14.28515625" bestFit="1" customWidth="1"/>
    <col min="17" max="17" width="15.28515625" bestFit="1" customWidth="1"/>
    <col min="18" max="18" width="20.28515625" bestFit="1" customWidth="1"/>
    <col min="19" max="19" width="15.85546875" bestFit="1" customWidth="1"/>
    <col min="20" max="20" width="16.85546875" bestFit="1" customWidth="1"/>
    <col min="21" max="21" width="14.28515625" bestFit="1" customWidth="1"/>
    <col min="22" max="22" width="8.7109375" style="78" customWidth="1"/>
  </cols>
  <sheetData>
    <row r="1" spans="1:22" s="76" customFormat="1" ht="30" customHeight="1" x14ac:dyDescent="0.25">
      <c r="A1" s="136" t="s">
        <v>40</v>
      </c>
      <c r="B1" s="137" t="s">
        <v>41</v>
      </c>
      <c r="C1" s="137" t="s">
        <v>1</v>
      </c>
      <c r="D1" s="137" t="s">
        <v>144</v>
      </c>
      <c r="E1" s="137" t="s">
        <v>145</v>
      </c>
      <c r="F1" s="137" t="s">
        <v>146</v>
      </c>
      <c r="G1" s="137" t="s">
        <v>147</v>
      </c>
      <c r="H1" s="137" t="s">
        <v>42</v>
      </c>
      <c r="I1" s="77" t="s">
        <v>43</v>
      </c>
      <c r="J1" s="137" t="s">
        <v>148</v>
      </c>
      <c r="K1" s="137" t="s">
        <v>149</v>
      </c>
      <c r="L1" s="137" t="s">
        <v>150</v>
      </c>
      <c r="M1" s="137" t="s">
        <v>151</v>
      </c>
      <c r="N1" s="137" t="s">
        <v>109</v>
      </c>
      <c r="O1" s="77" t="s">
        <v>110</v>
      </c>
      <c r="P1" s="137" t="s">
        <v>45</v>
      </c>
      <c r="Q1" s="137" t="s">
        <v>152</v>
      </c>
      <c r="R1" s="137" t="s">
        <v>153</v>
      </c>
      <c r="S1" s="137" t="s">
        <v>154</v>
      </c>
      <c r="T1" s="137" t="s">
        <v>155</v>
      </c>
      <c r="U1" s="137" t="s">
        <v>44</v>
      </c>
      <c r="V1" s="77" t="s">
        <v>111</v>
      </c>
    </row>
    <row r="2" spans="1:22" x14ac:dyDescent="0.25">
      <c r="A2" s="39" t="s">
        <v>46</v>
      </c>
      <c r="B2" s="40" t="s">
        <v>79</v>
      </c>
      <c r="C2" s="68">
        <f>IF(D2=0,0,(D2/(F2/12)))</f>
        <v>5.389553330187006</v>
      </c>
      <c r="D2" s="79">
        <v>29586.73</v>
      </c>
      <c r="E2" s="79">
        <v>69224.39</v>
      </c>
      <c r="F2" s="79">
        <v>65875.73</v>
      </c>
      <c r="G2" s="79">
        <v>109401.2</v>
      </c>
      <c r="H2" s="79">
        <v>43525.47</v>
      </c>
      <c r="I2" s="80">
        <f>IF(G2=0,0,ROUND((1-F2/G2),3))</f>
        <v>0.39800000000000002</v>
      </c>
      <c r="J2" s="79">
        <v>28806.16</v>
      </c>
      <c r="K2" s="79">
        <v>70811.13</v>
      </c>
      <c r="L2" s="79">
        <v>66415.17</v>
      </c>
      <c r="M2" s="79">
        <v>110717.82</v>
      </c>
      <c r="N2" s="79">
        <v>44302.65</v>
      </c>
      <c r="O2" s="80">
        <f>IF(M2=0,0,ROUND((1-L2/M2),3))</f>
        <v>0.4</v>
      </c>
      <c r="P2" s="79">
        <v>109310</v>
      </c>
      <c r="Q2" s="79">
        <v>27736.34</v>
      </c>
      <c r="R2" s="79">
        <v>70153.09</v>
      </c>
      <c r="S2" s="79">
        <v>65281.48</v>
      </c>
      <c r="T2" s="79">
        <v>112325.27</v>
      </c>
      <c r="U2" s="79">
        <v>47043.79</v>
      </c>
      <c r="V2" s="80">
        <f>IF(T2=0,0,ROUND((1-S2/T2),3))</f>
        <v>0.41899999999999998</v>
      </c>
    </row>
    <row r="3" spans="1:22" x14ac:dyDescent="0.25">
      <c r="A3" s="41" t="s">
        <v>48</v>
      </c>
      <c r="B3" s="42" t="s">
        <v>79</v>
      </c>
      <c r="C3" s="68">
        <f t="shared" ref="C3:C50" si="0">IF(D3=0,0,(D3/(F3/12)))</f>
        <v>14.992787499206994</v>
      </c>
      <c r="D3" s="79">
        <v>17133.87</v>
      </c>
      <c r="E3" s="79">
        <v>12033.39</v>
      </c>
      <c r="F3" s="79">
        <v>13713.69</v>
      </c>
      <c r="G3" s="79">
        <v>20900.8</v>
      </c>
      <c r="H3" s="79">
        <v>7187.11</v>
      </c>
      <c r="I3" s="80">
        <f t="shared" ref="I3:I50" si="1">IF(G3=0,0,ROUND((1-F3/G3),3))</f>
        <v>0.34399999999999997</v>
      </c>
      <c r="J3" s="79">
        <v>18923.59</v>
      </c>
      <c r="K3" s="79">
        <v>15696.54</v>
      </c>
      <c r="L3" s="79">
        <v>12453.26</v>
      </c>
      <c r="M3" s="79">
        <v>19984.5</v>
      </c>
      <c r="N3" s="79">
        <v>7531.24</v>
      </c>
      <c r="O3" s="80">
        <f t="shared" ref="O3:O50" si="2">IF(M3=0,0,ROUND((1-L3/M3),3))</f>
        <v>0.377</v>
      </c>
      <c r="P3" s="79">
        <v>20904</v>
      </c>
      <c r="Q3" s="79">
        <v>9892.69</v>
      </c>
      <c r="R3" s="79">
        <v>13675.2</v>
      </c>
      <c r="S3" s="79">
        <v>13230.19</v>
      </c>
      <c r="T3" s="79">
        <v>22369.22</v>
      </c>
      <c r="U3" s="79">
        <v>9139.0300000000007</v>
      </c>
      <c r="V3" s="80">
        <f t="shared" ref="V3:V50" si="3">IF(T3=0,0,ROUND((1-S3/T3),3))</f>
        <v>0.40899999999999997</v>
      </c>
    </row>
    <row r="4" spans="1:22" x14ac:dyDescent="0.25">
      <c r="A4" s="41" t="s">
        <v>49</v>
      </c>
      <c r="B4" s="42" t="s">
        <v>79</v>
      </c>
      <c r="C4" s="68">
        <f t="shared" si="0"/>
        <v>22.340838918593271</v>
      </c>
      <c r="D4" s="79">
        <v>247.22</v>
      </c>
      <c r="E4" s="79">
        <v>236.12</v>
      </c>
      <c r="F4" s="79">
        <v>132.79</v>
      </c>
      <c r="G4" s="79">
        <v>222.13</v>
      </c>
      <c r="H4" s="79">
        <v>89.34</v>
      </c>
      <c r="I4" s="80">
        <f t="shared" si="1"/>
        <v>0.40200000000000002</v>
      </c>
      <c r="J4" s="79">
        <v>251.02</v>
      </c>
      <c r="K4" s="79">
        <v>1319.74</v>
      </c>
      <c r="L4" s="79">
        <v>179.73</v>
      </c>
      <c r="M4" s="79">
        <v>271.69</v>
      </c>
      <c r="N4" s="79">
        <v>91.96</v>
      </c>
      <c r="O4" s="80">
        <f t="shared" si="2"/>
        <v>0.33800000000000002</v>
      </c>
      <c r="P4" s="79">
        <v>222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80">
        <f t="shared" si="3"/>
        <v>0</v>
      </c>
    </row>
    <row r="5" spans="1:22" x14ac:dyDescent="0.25">
      <c r="A5" s="18" t="s">
        <v>46</v>
      </c>
      <c r="B5" s="19" t="s">
        <v>80</v>
      </c>
      <c r="C5" s="69">
        <f t="shared" si="0"/>
        <v>6.3228589543888996</v>
      </c>
      <c r="D5" s="32">
        <v>116718.58</v>
      </c>
      <c r="E5" s="32">
        <v>227882.07</v>
      </c>
      <c r="F5" s="32">
        <v>221517.35</v>
      </c>
      <c r="G5" s="32">
        <v>332540.53999999998</v>
      </c>
      <c r="H5" s="32">
        <v>111023.19</v>
      </c>
      <c r="I5" s="81">
        <f t="shared" si="1"/>
        <v>0.33400000000000002</v>
      </c>
      <c r="J5" s="32">
        <v>135090.46</v>
      </c>
      <c r="K5" s="32">
        <v>270665.73</v>
      </c>
      <c r="L5" s="32">
        <v>265998.53999999998</v>
      </c>
      <c r="M5" s="32">
        <v>392130.04</v>
      </c>
      <c r="N5" s="32">
        <v>126131.5</v>
      </c>
      <c r="O5" s="81">
        <f t="shared" si="2"/>
        <v>0.32200000000000001</v>
      </c>
      <c r="P5" s="32">
        <v>332582</v>
      </c>
      <c r="Q5" s="32">
        <v>138607.53</v>
      </c>
      <c r="R5" s="32">
        <v>245283.98</v>
      </c>
      <c r="S5" s="32">
        <v>272493.69</v>
      </c>
      <c r="T5" s="32">
        <v>404342.63</v>
      </c>
      <c r="U5" s="32">
        <v>131848.94</v>
      </c>
      <c r="V5" s="81">
        <f t="shared" si="3"/>
        <v>0.32600000000000001</v>
      </c>
    </row>
    <row r="6" spans="1:22" x14ac:dyDescent="0.25">
      <c r="A6" s="18" t="s">
        <v>48</v>
      </c>
      <c r="B6" s="19" t="s">
        <v>80</v>
      </c>
      <c r="C6" s="69">
        <f t="shared" si="0"/>
        <v>17.653427020517196</v>
      </c>
      <c r="D6" s="32">
        <v>43682.14</v>
      </c>
      <c r="E6" s="32">
        <v>32446.61</v>
      </c>
      <c r="F6" s="32">
        <v>29693.14</v>
      </c>
      <c r="G6" s="32">
        <v>44985.46</v>
      </c>
      <c r="H6" s="32">
        <v>15292.32</v>
      </c>
      <c r="I6" s="81">
        <f t="shared" si="1"/>
        <v>0.34</v>
      </c>
      <c r="J6" s="32">
        <v>45053.16</v>
      </c>
      <c r="K6" s="32">
        <v>30659.65</v>
      </c>
      <c r="L6" s="32">
        <v>32189.29</v>
      </c>
      <c r="M6" s="32">
        <v>48427.839999999997</v>
      </c>
      <c r="N6" s="32">
        <v>16238.55</v>
      </c>
      <c r="O6" s="81">
        <f t="shared" si="2"/>
        <v>0.33500000000000002</v>
      </c>
      <c r="P6" s="32">
        <v>44976</v>
      </c>
      <c r="Q6" s="32">
        <v>43702.86</v>
      </c>
      <c r="R6" s="32">
        <v>38028.25</v>
      </c>
      <c r="S6" s="32">
        <v>35049.97</v>
      </c>
      <c r="T6" s="32">
        <v>53384</v>
      </c>
      <c r="U6" s="32">
        <v>18334.03</v>
      </c>
      <c r="V6" s="81">
        <f t="shared" si="3"/>
        <v>0.34300000000000003</v>
      </c>
    </row>
    <row r="7" spans="1:22" x14ac:dyDescent="0.25">
      <c r="A7" s="18" t="s">
        <v>49</v>
      </c>
      <c r="B7" s="19" t="s">
        <v>80</v>
      </c>
      <c r="C7" s="69">
        <f t="shared" si="0"/>
        <v>6.634666196935</v>
      </c>
      <c r="D7" s="32">
        <v>376.65</v>
      </c>
      <c r="E7" s="32">
        <v>685.34</v>
      </c>
      <c r="F7" s="32">
        <v>681.24</v>
      </c>
      <c r="G7" s="32">
        <v>756.95</v>
      </c>
      <c r="H7" s="32">
        <v>75.709999999999994</v>
      </c>
      <c r="I7" s="81">
        <f t="shared" si="1"/>
        <v>0.1</v>
      </c>
      <c r="J7" s="32">
        <v>3389.77</v>
      </c>
      <c r="K7" s="32">
        <v>4181.88</v>
      </c>
      <c r="L7" s="32">
        <v>1124.69</v>
      </c>
      <c r="M7" s="32">
        <v>1540.89</v>
      </c>
      <c r="N7" s="32">
        <v>416.2</v>
      </c>
      <c r="O7" s="81">
        <f t="shared" si="2"/>
        <v>0.27</v>
      </c>
      <c r="P7" s="32">
        <v>757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81">
        <f t="shared" si="3"/>
        <v>0</v>
      </c>
    </row>
    <row r="8" spans="1:22" x14ac:dyDescent="0.25">
      <c r="A8" s="20" t="s">
        <v>46</v>
      </c>
      <c r="B8" s="21" t="s">
        <v>81</v>
      </c>
      <c r="C8" s="70">
        <f t="shared" si="0"/>
        <v>3.3504093507056329</v>
      </c>
      <c r="D8" s="33">
        <v>108388.85</v>
      </c>
      <c r="E8" s="33">
        <v>391115.67</v>
      </c>
      <c r="F8" s="33">
        <v>388211.13</v>
      </c>
      <c r="G8" s="33">
        <v>688458.55</v>
      </c>
      <c r="H8" s="33">
        <v>300247.42</v>
      </c>
      <c r="I8" s="82">
        <f t="shared" si="1"/>
        <v>0.436</v>
      </c>
      <c r="J8" s="33">
        <v>90607.09</v>
      </c>
      <c r="K8" s="33">
        <v>383502.07</v>
      </c>
      <c r="L8" s="33">
        <v>383390.09</v>
      </c>
      <c r="M8" s="33">
        <v>694583.24</v>
      </c>
      <c r="N8" s="33">
        <v>311193.15000000002</v>
      </c>
      <c r="O8" s="82">
        <f t="shared" si="2"/>
        <v>0.44800000000000001</v>
      </c>
      <c r="P8" s="33">
        <v>688513</v>
      </c>
      <c r="Q8" s="33">
        <v>90710.05</v>
      </c>
      <c r="R8" s="33">
        <v>375901.19</v>
      </c>
      <c r="S8" s="33">
        <v>402419.55</v>
      </c>
      <c r="T8" s="33">
        <v>706840.3</v>
      </c>
      <c r="U8" s="33">
        <v>304420.75</v>
      </c>
      <c r="V8" s="82">
        <f t="shared" si="3"/>
        <v>0.43099999999999999</v>
      </c>
    </row>
    <row r="9" spans="1:22" x14ac:dyDescent="0.25">
      <c r="A9" s="20" t="s">
        <v>48</v>
      </c>
      <c r="B9" s="21" t="s">
        <v>81</v>
      </c>
      <c r="C9" s="70">
        <f t="shared" si="0"/>
        <v>7.0669597091554861</v>
      </c>
      <c r="D9" s="33">
        <v>88025.42</v>
      </c>
      <c r="E9" s="33">
        <v>144493.74</v>
      </c>
      <c r="F9" s="33">
        <v>149470.93</v>
      </c>
      <c r="G9" s="33">
        <v>254451.7</v>
      </c>
      <c r="H9" s="33">
        <v>104980.77</v>
      </c>
      <c r="I9" s="82">
        <f t="shared" si="1"/>
        <v>0.41299999999999998</v>
      </c>
      <c r="J9" s="33">
        <v>91378.3</v>
      </c>
      <c r="K9" s="33">
        <v>181558.21</v>
      </c>
      <c r="L9" s="33">
        <v>154699.89000000001</v>
      </c>
      <c r="M9" s="33">
        <v>266277.49</v>
      </c>
      <c r="N9" s="33">
        <v>111577.60000000001</v>
      </c>
      <c r="O9" s="82">
        <f t="shared" si="2"/>
        <v>0.41899999999999998</v>
      </c>
      <c r="P9" s="33">
        <v>254486</v>
      </c>
      <c r="Q9" s="33">
        <v>68363.17</v>
      </c>
      <c r="R9" s="33">
        <v>149615.96</v>
      </c>
      <c r="S9" s="33">
        <v>151304.60999999999</v>
      </c>
      <c r="T9" s="33">
        <v>253087.82</v>
      </c>
      <c r="U9" s="33">
        <v>101783.21</v>
      </c>
      <c r="V9" s="82">
        <f t="shared" si="3"/>
        <v>0.40200000000000002</v>
      </c>
    </row>
    <row r="10" spans="1:22" x14ac:dyDescent="0.25">
      <c r="A10" s="20" t="s">
        <v>49</v>
      </c>
      <c r="B10" s="21" t="s">
        <v>81</v>
      </c>
      <c r="C10" s="70" t="e">
        <f t="shared" si="0"/>
        <v>#DIV/0!</v>
      </c>
      <c r="D10" s="33">
        <v>32.4</v>
      </c>
      <c r="E10" s="33">
        <v>0</v>
      </c>
      <c r="F10" s="33">
        <v>0</v>
      </c>
      <c r="G10" s="33">
        <v>0</v>
      </c>
      <c r="H10" s="33">
        <v>0</v>
      </c>
      <c r="I10" s="82">
        <f t="shared" si="1"/>
        <v>0</v>
      </c>
      <c r="J10" s="33">
        <v>36.229999999999997</v>
      </c>
      <c r="K10" s="33">
        <v>194.9</v>
      </c>
      <c r="L10" s="33">
        <v>95.95</v>
      </c>
      <c r="M10" s="33">
        <v>132.99</v>
      </c>
      <c r="N10" s="33">
        <v>37.04</v>
      </c>
      <c r="O10" s="82">
        <f t="shared" si="2"/>
        <v>0.27900000000000003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82">
        <f t="shared" si="3"/>
        <v>0</v>
      </c>
    </row>
    <row r="11" spans="1:22" x14ac:dyDescent="0.25">
      <c r="A11" s="22" t="s">
        <v>46</v>
      </c>
      <c r="B11" s="23" t="s">
        <v>82</v>
      </c>
      <c r="C11" s="71">
        <f t="shared" si="0"/>
        <v>3.8841872372153787</v>
      </c>
      <c r="D11" s="34">
        <v>66124.41</v>
      </c>
      <c r="E11" s="34">
        <v>190827.59</v>
      </c>
      <c r="F11" s="34">
        <v>204288.02</v>
      </c>
      <c r="G11" s="34">
        <v>322385.36</v>
      </c>
      <c r="H11" s="34">
        <v>118097.34</v>
      </c>
      <c r="I11" s="83">
        <f t="shared" si="1"/>
        <v>0.36599999999999999</v>
      </c>
      <c r="J11" s="34">
        <v>63469.5</v>
      </c>
      <c r="K11" s="34">
        <v>199102.79</v>
      </c>
      <c r="L11" s="34">
        <v>202780.21</v>
      </c>
      <c r="M11" s="34">
        <v>318155.31</v>
      </c>
      <c r="N11" s="34">
        <v>115375.1</v>
      </c>
      <c r="O11" s="83">
        <f t="shared" si="2"/>
        <v>0.36299999999999999</v>
      </c>
      <c r="P11" s="34">
        <v>322420</v>
      </c>
      <c r="Q11" s="34">
        <v>55113.34</v>
      </c>
      <c r="R11" s="34">
        <v>202514.99</v>
      </c>
      <c r="S11" s="34">
        <v>217270.53</v>
      </c>
      <c r="T11" s="34">
        <v>349494.22</v>
      </c>
      <c r="U11" s="34">
        <v>132223.69</v>
      </c>
      <c r="V11" s="83">
        <f t="shared" si="3"/>
        <v>0.378</v>
      </c>
    </row>
    <row r="12" spans="1:22" x14ac:dyDescent="0.25">
      <c r="A12" s="22" t="s">
        <v>48</v>
      </c>
      <c r="B12" s="23" t="s">
        <v>82</v>
      </c>
      <c r="C12" s="71">
        <f t="shared" si="0"/>
        <v>10.631183835068837</v>
      </c>
      <c r="D12" s="34">
        <v>52737.21</v>
      </c>
      <c r="E12" s="34">
        <v>77055.12</v>
      </c>
      <c r="F12" s="34">
        <v>59527.38</v>
      </c>
      <c r="G12" s="34">
        <v>77635.8</v>
      </c>
      <c r="H12" s="34">
        <v>18108.419999999998</v>
      </c>
      <c r="I12" s="83">
        <f t="shared" si="1"/>
        <v>0.23300000000000001</v>
      </c>
      <c r="J12" s="34">
        <v>28554.9</v>
      </c>
      <c r="K12" s="34">
        <v>34948.71</v>
      </c>
      <c r="L12" s="34">
        <v>42290.99</v>
      </c>
      <c r="M12" s="34">
        <v>55779.75</v>
      </c>
      <c r="N12" s="34">
        <v>13488.76</v>
      </c>
      <c r="O12" s="83">
        <f t="shared" si="2"/>
        <v>0.24199999999999999</v>
      </c>
      <c r="P12" s="34">
        <v>77641</v>
      </c>
      <c r="Q12" s="34">
        <v>23723.74</v>
      </c>
      <c r="R12" s="34">
        <v>91143.83</v>
      </c>
      <c r="S12" s="34">
        <v>66240.45</v>
      </c>
      <c r="T12" s="34">
        <v>86561.17</v>
      </c>
      <c r="U12" s="34">
        <v>20320.72</v>
      </c>
      <c r="V12" s="83">
        <f t="shared" si="3"/>
        <v>0.23499999999999999</v>
      </c>
    </row>
    <row r="13" spans="1:22" x14ac:dyDescent="0.25">
      <c r="A13" s="22" t="s">
        <v>49</v>
      </c>
      <c r="B13" s="23" t="s">
        <v>82</v>
      </c>
      <c r="C13" s="71">
        <f t="shared" si="0"/>
        <v>54.195406773063453</v>
      </c>
      <c r="D13" s="34">
        <v>348.07</v>
      </c>
      <c r="E13" s="34">
        <v>94.19</v>
      </c>
      <c r="F13" s="34">
        <v>77.069999999999993</v>
      </c>
      <c r="G13" s="34">
        <v>108.96</v>
      </c>
      <c r="H13" s="34">
        <v>31.89</v>
      </c>
      <c r="I13" s="83">
        <f t="shared" si="1"/>
        <v>0.29299999999999998</v>
      </c>
      <c r="J13" s="34">
        <v>256</v>
      </c>
      <c r="K13" s="34">
        <v>433.83</v>
      </c>
      <c r="L13" s="34">
        <v>82.69</v>
      </c>
      <c r="M13" s="34">
        <v>135.53</v>
      </c>
      <c r="N13" s="34">
        <v>52.84</v>
      </c>
      <c r="O13" s="83">
        <f t="shared" si="2"/>
        <v>0.39</v>
      </c>
      <c r="P13" s="34">
        <v>109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83">
        <f t="shared" si="3"/>
        <v>0</v>
      </c>
    </row>
    <row r="14" spans="1:22" x14ac:dyDescent="0.25">
      <c r="A14" s="24" t="s">
        <v>46</v>
      </c>
      <c r="B14" s="25" t="s">
        <v>83</v>
      </c>
      <c r="C14" s="72">
        <f t="shared" si="0"/>
        <v>6.7298216517582707</v>
      </c>
      <c r="D14" s="35">
        <v>33801.32</v>
      </c>
      <c r="E14" s="35">
        <v>60682.25</v>
      </c>
      <c r="F14" s="35">
        <v>60271.41</v>
      </c>
      <c r="G14" s="35">
        <v>109373.2</v>
      </c>
      <c r="H14" s="35">
        <v>49101.79</v>
      </c>
      <c r="I14" s="84">
        <f t="shared" si="1"/>
        <v>0.44900000000000001</v>
      </c>
      <c r="J14" s="35">
        <v>23686.52</v>
      </c>
      <c r="K14" s="35">
        <v>38423.86</v>
      </c>
      <c r="L14" s="35">
        <v>39031.43</v>
      </c>
      <c r="M14" s="35">
        <v>70204.27</v>
      </c>
      <c r="N14" s="35">
        <v>31172.84</v>
      </c>
      <c r="O14" s="84">
        <f t="shared" si="2"/>
        <v>0.44400000000000001</v>
      </c>
      <c r="P14" s="35">
        <v>109413</v>
      </c>
      <c r="Q14" s="35">
        <v>25576.98</v>
      </c>
      <c r="R14" s="35">
        <v>50432.79</v>
      </c>
      <c r="S14" s="35">
        <v>58230.66</v>
      </c>
      <c r="T14" s="35">
        <v>101666.03</v>
      </c>
      <c r="U14" s="35">
        <v>43435.37</v>
      </c>
      <c r="V14" s="84">
        <f t="shared" si="3"/>
        <v>0.42699999999999999</v>
      </c>
    </row>
    <row r="15" spans="1:22" x14ac:dyDescent="0.25">
      <c r="A15" s="24" t="s">
        <v>48</v>
      </c>
      <c r="B15" s="25" t="s">
        <v>83</v>
      </c>
      <c r="C15" s="72">
        <f t="shared" si="0"/>
        <v>70.757303241407101</v>
      </c>
      <c r="D15" s="35">
        <v>40966.120000000003</v>
      </c>
      <c r="E15" s="35">
        <v>-166.26</v>
      </c>
      <c r="F15" s="35">
        <v>6947.6</v>
      </c>
      <c r="G15" s="35">
        <v>11784.15</v>
      </c>
      <c r="H15" s="35">
        <v>4836.55</v>
      </c>
      <c r="I15" s="84">
        <f t="shared" si="1"/>
        <v>0.41</v>
      </c>
      <c r="J15" s="35">
        <v>22112.400000000001</v>
      </c>
      <c r="K15" s="35">
        <v>14845.42</v>
      </c>
      <c r="L15" s="35">
        <v>2484.96</v>
      </c>
      <c r="M15" s="35">
        <v>4155.1400000000003</v>
      </c>
      <c r="N15" s="35">
        <v>1670.18</v>
      </c>
      <c r="O15" s="84">
        <f t="shared" si="2"/>
        <v>0.40200000000000002</v>
      </c>
      <c r="P15" s="35">
        <v>11788</v>
      </c>
      <c r="Q15" s="35">
        <v>5533.41</v>
      </c>
      <c r="R15" s="35">
        <v>2216.4</v>
      </c>
      <c r="S15" s="35">
        <v>1199.95</v>
      </c>
      <c r="T15" s="35">
        <v>2218.59</v>
      </c>
      <c r="U15" s="35">
        <v>1018.64</v>
      </c>
      <c r="V15" s="84">
        <f t="shared" si="3"/>
        <v>0.45900000000000002</v>
      </c>
    </row>
    <row r="16" spans="1:22" x14ac:dyDescent="0.25">
      <c r="A16" s="24" t="s">
        <v>49</v>
      </c>
      <c r="B16" s="25" t="s">
        <v>83</v>
      </c>
      <c r="C16" s="72">
        <f t="shared" si="0"/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84">
        <f t="shared" si="1"/>
        <v>0</v>
      </c>
      <c r="J16" s="35">
        <v>-82.5</v>
      </c>
      <c r="K16" s="35">
        <v>-86.4</v>
      </c>
      <c r="L16" s="35">
        <v>0</v>
      </c>
      <c r="M16" s="35">
        <v>0</v>
      </c>
      <c r="N16" s="35">
        <v>0</v>
      </c>
      <c r="O16" s="84">
        <f t="shared" si="2"/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84">
        <f t="shared" si="3"/>
        <v>0</v>
      </c>
    </row>
    <row r="17" spans="1:22" x14ac:dyDescent="0.25">
      <c r="A17" s="26" t="s">
        <v>46</v>
      </c>
      <c r="B17" s="27" t="s">
        <v>84</v>
      </c>
      <c r="C17" s="73">
        <f t="shared" si="0"/>
        <v>15.094573796299883</v>
      </c>
      <c r="D17" s="36">
        <v>39287.49</v>
      </c>
      <c r="E17" s="36">
        <v>27682.84</v>
      </c>
      <c r="F17" s="36">
        <v>31233.07</v>
      </c>
      <c r="G17" s="36">
        <v>62783.91</v>
      </c>
      <c r="H17" s="36">
        <v>31550.84</v>
      </c>
      <c r="I17" s="85">
        <f t="shared" si="1"/>
        <v>0.503</v>
      </c>
      <c r="J17" s="36">
        <v>29851.22</v>
      </c>
      <c r="K17" s="36">
        <v>37407.769999999997</v>
      </c>
      <c r="L17" s="36">
        <v>22389.89</v>
      </c>
      <c r="M17" s="36">
        <v>43468.29</v>
      </c>
      <c r="N17" s="36">
        <v>21078.400000000001</v>
      </c>
      <c r="O17" s="85">
        <f t="shared" si="2"/>
        <v>0.48499999999999999</v>
      </c>
      <c r="P17" s="36">
        <v>62836</v>
      </c>
      <c r="Q17" s="36">
        <v>16379.19</v>
      </c>
      <c r="R17" s="36">
        <v>24025.439999999999</v>
      </c>
      <c r="S17" s="36">
        <v>27766.04</v>
      </c>
      <c r="T17" s="36">
        <v>52270.22</v>
      </c>
      <c r="U17" s="36">
        <v>24504.18</v>
      </c>
      <c r="V17" s="85">
        <f t="shared" si="3"/>
        <v>0.46899999999999997</v>
      </c>
    </row>
    <row r="18" spans="1:22" x14ac:dyDescent="0.25">
      <c r="A18" s="26" t="s">
        <v>48</v>
      </c>
      <c r="B18" s="27" t="s">
        <v>84</v>
      </c>
      <c r="C18" s="73">
        <f t="shared" si="0"/>
        <v>62.782260985135473</v>
      </c>
      <c r="D18" s="36">
        <v>45506.1</v>
      </c>
      <c r="E18" s="36">
        <v>2456.5300000000002</v>
      </c>
      <c r="F18" s="36">
        <v>8697.89</v>
      </c>
      <c r="G18" s="36">
        <v>16881.63</v>
      </c>
      <c r="H18" s="36">
        <v>8183.74</v>
      </c>
      <c r="I18" s="85">
        <f t="shared" si="1"/>
        <v>0.48499999999999999</v>
      </c>
      <c r="J18" s="36">
        <v>28834.12</v>
      </c>
      <c r="K18" s="36">
        <v>24443.759999999998</v>
      </c>
      <c r="L18" s="36">
        <v>4221</v>
      </c>
      <c r="M18" s="36">
        <v>8090.4</v>
      </c>
      <c r="N18" s="36">
        <v>3869.4</v>
      </c>
      <c r="O18" s="85">
        <f t="shared" si="2"/>
        <v>0.47799999999999998</v>
      </c>
      <c r="P18" s="36">
        <v>16889</v>
      </c>
      <c r="Q18" s="36">
        <v>9805.42</v>
      </c>
      <c r="R18" s="36">
        <v>2142.58</v>
      </c>
      <c r="S18" s="36">
        <v>1932.65</v>
      </c>
      <c r="T18" s="36">
        <v>3908.98</v>
      </c>
      <c r="U18" s="36">
        <v>1976.33</v>
      </c>
      <c r="V18" s="85">
        <f t="shared" si="3"/>
        <v>0.50600000000000001</v>
      </c>
    </row>
    <row r="19" spans="1:22" x14ac:dyDescent="0.25">
      <c r="A19" s="26" t="s">
        <v>49</v>
      </c>
      <c r="B19" s="27" t="s">
        <v>84</v>
      </c>
      <c r="C19" s="73">
        <f t="shared" si="0"/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85">
        <f t="shared" si="1"/>
        <v>0</v>
      </c>
      <c r="J19" s="36">
        <v>689.74</v>
      </c>
      <c r="K19" s="36">
        <v>4846.67</v>
      </c>
      <c r="L19" s="36">
        <v>30.12</v>
      </c>
      <c r="M19" s="36">
        <v>45.56</v>
      </c>
      <c r="N19" s="36">
        <v>15.44</v>
      </c>
      <c r="O19" s="85">
        <f t="shared" si="2"/>
        <v>0.33900000000000002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85">
        <f t="shared" si="3"/>
        <v>0</v>
      </c>
    </row>
    <row r="20" spans="1:22" x14ac:dyDescent="0.25">
      <c r="A20" s="28" t="s">
        <v>46</v>
      </c>
      <c r="B20" s="29" t="s">
        <v>85</v>
      </c>
      <c r="C20" s="74">
        <f t="shared" si="0"/>
        <v>7.1028340863754025</v>
      </c>
      <c r="D20" s="37">
        <v>9551.4</v>
      </c>
      <c r="E20" s="37">
        <v>13525.64</v>
      </c>
      <c r="F20" s="37">
        <v>16136.77</v>
      </c>
      <c r="G20" s="37">
        <v>28204.2</v>
      </c>
      <c r="H20" s="37">
        <v>12067.43</v>
      </c>
      <c r="I20" s="86">
        <f t="shared" si="1"/>
        <v>0.42799999999999999</v>
      </c>
      <c r="J20" s="37">
        <v>6169.99</v>
      </c>
      <c r="K20" s="37">
        <v>10540.8</v>
      </c>
      <c r="L20" s="37">
        <v>14401.61</v>
      </c>
      <c r="M20" s="37">
        <v>22246.18</v>
      </c>
      <c r="N20" s="37">
        <v>7844.57</v>
      </c>
      <c r="O20" s="86">
        <f t="shared" si="2"/>
        <v>0.35299999999999998</v>
      </c>
      <c r="P20" s="37">
        <v>28214</v>
      </c>
      <c r="Q20" s="37">
        <v>5904.09</v>
      </c>
      <c r="R20" s="37">
        <v>10901.68</v>
      </c>
      <c r="S20" s="37">
        <v>12458.04</v>
      </c>
      <c r="T20" s="37">
        <v>22901.32</v>
      </c>
      <c r="U20" s="37">
        <v>10443.280000000001</v>
      </c>
      <c r="V20" s="86">
        <f t="shared" si="3"/>
        <v>0.45600000000000002</v>
      </c>
    </row>
    <row r="21" spans="1:22" x14ac:dyDescent="0.25">
      <c r="A21" s="28" t="s">
        <v>48</v>
      </c>
      <c r="B21" s="29" t="s">
        <v>85</v>
      </c>
      <c r="C21" s="74">
        <f t="shared" si="0"/>
        <v>26.421127225188464</v>
      </c>
      <c r="D21" s="37">
        <v>7208.3</v>
      </c>
      <c r="E21" s="37">
        <v>2184.64</v>
      </c>
      <c r="F21" s="37">
        <v>3273.88</v>
      </c>
      <c r="G21" s="37">
        <v>5349.63</v>
      </c>
      <c r="H21" s="37">
        <v>2075.75</v>
      </c>
      <c r="I21" s="86">
        <f t="shared" si="1"/>
        <v>0.38800000000000001</v>
      </c>
      <c r="J21" s="37">
        <v>3650.78</v>
      </c>
      <c r="K21" s="37">
        <v>1915.93</v>
      </c>
      <c r="L21" s="37">
        <v>2235.44</v>
      </c>
      <c r="M21" s="37">
        <v>3859.61</v>
      </c>
      <c r="N21" s="37">
        <v>1624.17</v>
      </c>
      <c r="O21" s="86">
        <f t="shared" si="2"/>
        <v>0.42099999999999999</v>
      </c>
      <c r="P21" s="37">
        <v>5349</v>
      </c>
      <c r="Q21" s="37">
        <v>1459.74</v>
      </c>
      <c r="R21" s="37">
        <v>308.08999999999997</v>
      </c>
      <c r="S21" s="37">
        <v>446.71</v>
      </c>
      <c r="T21" s="37">
        <v>944.32</v>
      </c>
      <c r="U21" s="37">
        <v>497.61</v>
      </c>
      <c r="V21" s="86">
        <f t="shared" si="3"/>
        <v>0.52700000000000002</v>
      </c>
    </row>
    <row r="22" spans="1:22" x14ac:dyDescent="0.25">
      <c r="A22" s="28" t="s">
        <v>49</v>
      </c>
      <c r="B22" s="29" t="s">
        <v>85</v>
      </c>
      <c r="C22" s="74">
        <f t="shared" si="0"/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86">
        <f t="shared" si="1"/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86">
        <f t="shared" si="2"/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86">
        <f t="shared" si="3"/>
        <v>0</v>
      </c>
    </row>
    <row r="23" spans="1:22" x14ac:dyDescent="0.25">
      <c r="A23" s="41" t="s">
        <v>46</v>
      </c>
      <c r="B23" s="42" t="s">
        <v>86</v>
      </c>
      <c r="C23" s="68">
        <f t="shared" si="0"/>
        <v>3.8191074927857658</v>
      </c>
      <c r="D23" s="79">
        <v>19347.919999999998</v>
      </c>
      <c r="E23" s="79">
        <v>62291.13</v>
      </c>
      <c r="F23" s="79">
        <v>60793.01</v>
      </c>
      <c r="G23" s="79">
        <v>104076.86</v>
      </c>
      <c r="H23" s="79">
        <v>43283.85</v>
      </c>
      <c r="I23" s="80">
        <f t="shared" si="1"/>
        <v>0.41599999999999998</v>
      </c>
      <c r="J23" s="79">
        <v>16252.84</v>
      </c>
      <c r="K23" s="79">
        <v>60125.26</v>
      </c>
      <c r="L23" s="79">
        <v>51132</v>
      </c>
      <c r="M23" s="79">
        <v>84472.88</v>
      </c>
      <c r="N23" s="79">
        <v>33340.879999999997</v>
      </c>
      <c r="O23" s="80">
        <f t="shared" si="2"/>
        <v>0.39500000000000002</v>
      </c>
      <c r="P23" s="79">
        <v>104110</v>
      </c>
      <c r="Q23" s="79">
        <v>12491.86</v>
      </c>
      <c r="R23" s="79">
        <v>46363.86</v>
      </c>
      <c r="S23" s="79">
        <v>49399.360000000001</v>
      </c>
      <c r="T23" s="79">
        <v>83684.429999999993</v>
      </c>
      <c r="U23" s="79">
        <v>34285.07</v>
      </c>
      <c r="V23" s="80">
        <f t="shared" si="3"/>
        <v>0.41</v>
      </c>
    </row>
    <row r="24" spans="1:22" x14ac:dyDescent="0.25">
      <c r="A24" s="41" t="s">
        <v>48</v>
      </c>
      <c r="B24" s="42" t="s">
        <v>86</v>
      </c>
      <c r="C24" s="68">
        <f t="shared" si="0"/>
        <v>18.87087849223024</v>
      </c>
      <c r="D24" s="79">
        <v>4535.71</v>
      </c>
      <c r="E24" s="79">
        <v>1922.47</v>
      </c>
      <c r="F24" s="79">
        <v>2884.26</v>
      </c>
      <c r="G24" s="79">
        <v>4558.0600000000004</v>
      </c>
      <c r="H24" s="79">
        <v>1673.8</v>
      </c>
      <c r="I24" s="80">
        <f t="shared" si="1"/>
        <v>0.36699999999999999</v>
      </c>
      <c r="J24" s="79">
        <v>7409.93</v>
      </c>
      <c r="K24" s="79">
        <v>8474.66</v>
      </c>
      <c r="L24" s="79">
        <v>2191.9899999999998</v>
      </c>
      <c r="M24" s="79">
        <v>4690.26</v>
      </c>
      <c r="N24" s="79">
        <v>2498.27</v>
      </c>
      <c r="O24" s="80">
        <f t="shared" si="2"/>
        <v>0.53300000000000003</v>
      </c>
      <c r="P24" s="79">
        <v>4560</v>
      </c>
      <c r="Q24" s="79">
        <v>1176.97</v>
      </c>
      <c r="R24" s="79">
        <v>199.32</v>
      </c>
      <c r="S24" s="79">
        <v>915.7</v>
      </c>
      <c r="T24" s="79">
        <v>7088.98</v>
      </c>
      <c r="U24" s="79">
        <v>6173.28</v>
      </c>
      <c r="V24" s="80">
        <f t="shared" si="3"/>
        <v>0.871</v>
      </c>
    </row>
    <row r="25" spans="1:22" x14ac:dyDescent="0.25">
      <c r="A25" s="41" t="s">
        <v>49</v>
      </c>
      <c r="B25" s="42" t="s">
        <v>86</v>
      </c>
      <c r="C25" s="68">
        <f t="shared" si="0"/>
        <v>18.206268300618156</v>
      </c>
      <c r="D25" s="79">
        <v>139.9</v>
      </c>
      <c r="E25" s="79">
        <v>20.94</v>
      </c>
      <c r="F25" s="79">
        <v>92.21</v>
      </c>
      <c r="G25" s="79">
        <v>141.63</v>
      </c>
      <c r="H25" s="79">
        <v>49.42</v>
      </c>
      <c r="I25" s="80">
        <f t="shared" si="1"/>
        <v>0.34899999999999998</v>
      </c>
      <c r="J25" s="79">
        <v>80.010000000000005</v>
      </c>
      <c r="K25" s="79">
        <v>368.68</v>
      </c>
      <c r="L25" s="79">
        <v>59.95</v>
      </c>
      <c r="M25" s="79">
        <v>92.08</v>
      </c>
      <c r="N25" s="79">
        <v>32.130000000000003</v>
      </c>
      <c r="O25" s="80">
        <f t="shared" si="2"/>
        <v>0.34899999999999998</v>
      </c>
      <c r="P25" s="79">
        <v>141</v>
      </c>
      <c r="Q25" s="79">
        <v>0</v>
      </c>
      <c r="R25" s="79">
        <v>0</v>
      </c>
      <c r="S25" s="79">
        <v>0</v>
      </c>
      <c r="T25" s="79">
        <v>0</v>
      </c>
      <c r="U25" s="79">
        <v>0</v>
      </c>
      <c r="V25" s="80">
        <f t="shared" si="3"/>
        <v>0</v>
      </c>
    </row>
    <row r="26" spans="1:22" x14ac:dyDescent="0.25">
      <c r="A26" s="18" t="s">
        <v>46</v>
      </c>
      <c r="B26" s="19" t="s">
        <v>87</v>
      </c>
      <c r="C26" s="69">
        <f t="shared" si="0"/>
        <v>3.3833489147666329</v>
      </c>
      <c r="D26" s="32">
        <v>8028.14</v>
      </c>
      <c r="E26" s="32">
        <v>29607.93</v>
      </c>
      <c r="F26" s="32">
        <v>28474.06</v>
      </c>
      <c r="G26" s="32">
        <v>49883.25</v>
      </c>
      <c r="H26" s="32">
        <v>21409.19</v>
      </c>
      <c r="I26" s="81">
        <f t="shared" si="1"/>
        <v>0.42899999999999999</v>
      </c>
      <c r="J26" s="32">
        <v>8586.1299999999992</v>
      </c>
      <c r="K26" s="32">
        <v>19582.53</v>
      </c>
      <c r="L26" s="32">
        <v>30592.26</v>
      </c>
      <c r="M26" s="32">
        <v>51852.32</v>
      </c>
      <c r="N26" s="32">
        <v>21260.06</v>
      </c>
      <c r="O26" s="81">
        <f t="shared" si="2"/>
        <v>0.41</v>
      </c>
      <c r="P26" s="32">
        <v>49894</v>
      </c>
      <c r="Q26" s="32">
        <v>5630.51</v>
      </c>
      <c r="R26" s="32">
        <v>15352.2</v>
      </c>
      <c r="S26" s="32">
        <v>17330.810000000001</v>
      </c>
      <c r="T26" s="32">
        <v>29537.200000000001</v>
      </c>
      <c r="U26" s="32">
        <v>12206.39</v>
      </c>
      <c r="V26" s="81">
        <f t="shared" si="3"/>
        <v>0.41299999999999998</v>
      </c>
    </row>
    <row r="27" spans="1:22" x14ac:dyDescent="0.25">
      <c r="A27" s="18" t="s">
        <v>48</v>
      </c>
      <c r="B27" s="19" t="s">
        <v>87</v>
      </c>
      <c r="C27" s="69">
        <f t="shared" si="0"/>
        <v>25.40634848340153</v>
      </c>
      <c r="D27" s="32">
        <v>5764.15</v>
      </c>
      <c r="E27" s="32">
        <v>3105.45</v>
      </c>
      <c r="F27" s="32">
        <v>2722.54</v>
      </c>
      <c r="G27" s="32">
        <v>4307.97</v>
      </c>
      <c r="H27" s="32">
        <v>1585.43</v>
      </c>
      <c r="I27" s="81">
        <f t="shared" si="1"/>
        <v>0.36799999999999999</v>
      </c>
      <c r="J27" s="32">
        <v>5681.44</v>
      </c>
      <c r="K27" s="32">
        <v>4015.81</v>
      </c>
      <c r="L27" s="32">
        <v>1266.08</v>
      </c>
      <c r="M27" s="32">
        <v>2094.5300000000002</v>
      </c>
      <c r="N27" s="32">
        <v>828.45</v>
      </c>
      <c r="O27" s="81">
        <f t="shared" si="2"/>
        <v>0.39600000000000002</v>
      </c>
      <c r="P27" s="32">
        <v>4307</v>
      </c>
      <c r="Q27" s="32">
        <v>1086.71</v>
      </c>
      <c r="R27" s="32">
        <v>822.29</v>
      </c>
      <c r="S27" s="32">
        <v>595.6</v>
      </c>
      <c r="T27" s="32">
        <v>1100.4100000000001</v>
      </c>
      <c r="U27" s="32">
        <v>504.81</v>
      </c>
      <c r="V27" s="81">
        <f t="shared" si="3"/>
        <v>0.45900000000000002</v>
      </c>
    </row>
    <row r="28" spans="1:22" x14ac:dyDescent="0.25">
      <c r="A28" s="18" t="s">
        <v>49</v>
      </c>
      <c r="B28" s="19" t="s">
        <v>87</v>
      </c>
      <c r="C28" s="69">
        <f t="shared" si="0"/>
        <v>10.468689859363435</v>
      </c>
      <c r="D28" s="32">
        <v>58.93</v>
      </c>
      <c r="E28" s="32">
        <v>-47.1</v>
      </c>
      <c r="F28" s="32">
        <v>67.55</v>
      </c>
      <c r="G28" s="32">
        <v>112.72</v>
      </c>
      <c r="H28" s="32">
        <v>45.17</v>
      </c>
      <c r="I28" s="81">
        <f t="shared" si="1"/>
        <v>0.40100000000000002</v>
      </c>
      <c r="J28" s="32">
        <v>128.46</v>
      </c>
      <c r="K28" s="32">
        <v>-516.64</v>
      </c>
      <c r="L28" s="32">
        <v>40.090000000000003</v>
      </c>
      <c r="M28" s="32">
        <v>63.03</v>
      </c>
      <c r="N28" s="32">
        <v>22.94</v>
      </c>
      <c r="O28" s="81">
        <f t="shared" si="2"/>
        <v>0.36399999999999999</v>
      </c>
      <c r="P28" s="32">
        <v>113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81">
        <f t="shared" si="3"/>
        <v>0</v>
      </c>
    </row>
    <row r="29" spans="1:22" x14ac:dyDescent="0.25">
      <c r="A29" s="20" t="s">
        <v>46</v>
      </c>
      <c r="B29" s="21" t="s">
        <v>88</v>
      </c>
      <c r="C29" s="70">
        <f t="shared" si="0"/>
        <v>5.394826555973478</v>
      </c>
      <c r="D29" s="33">
        <v>1557.41</v>
      </c>
      <c r="E29" s="33">
        <v>2931.36</v>
      </c>
      <c r="F29" s="33">
        <v>3464.23</v>
      </c>
      <c r="G29" s="33">
        <v>6314.26</v>
      </c>
      <c r="H29" s="33">
        <v>2850.03</v>
      </c>
      <c r="I29" s="82">
        <f t="shared" si="1"/>
        <v>0.45100000000000001</v>
      </c>
      <c r="J29" s="33">
        <v>1386.79</v>
      </c>
      <c r="K29" s="33">
        <v>1206.76</v>
      </c>
      <c r="L29" s="33">
        <v>2323.09</v>
      </c>
      <c r="M29" s="33">
        <v>4446.66</v>
      </c>
      <c r="N29" s="33">
        <v>2123.5700000000002</v>
      </c>
      <c r="O29" s="82">
        <f t="shared" si="2"/>
        <v>0.47799999999999998</v>
      </c>
      <c r="P29" s="33">
        <v>6317</v>
      </c>
      <c r="Q29" s="33">
        <v>430.51</v>
      </c>
      <c r="R29" s="33">
        <v>1314.09</v>
      </c>
      <c r="S29" s="33">
        <v>863.32</v>
      </c>
      <c r="T29" s="33">
        <v>1617.28</v>
      </c>
      <c r="U29" s="33">
        <v>753.96</v>
      </c>
      <c r="V29" s="82">
        <f t="shared" si="3"/>
        <v>0.46600000000000003</v>
      </c>
    </row>
    <row r="30" spans="1:22" x14ac:dyDescent="0.25">
      <c r="A30" s="20" t="s">
        <v>48</v>
      </c>
      <c r="B30" s="21" t="s">
        <v>88</v>
      </c>
      <c r="C30" s="70">
        <f t="shared" si="0"/>
        <v>22.951216873985938</v>
      </c>
      <c r="D30" s="33">
        <v>707.28</v>
      </c>
      <c r="E30" s="33">
        <v>296.57</v>
      </c>
      <c r="F30" s="33">
        <v>369.8</v>
      </c>
      <c r="G30" s="33">
        <v>574.91999999999996</v>
      </c>
      <c r="H30" s="33">
        <v>205.12</v>
      </c>
      <c r="I30" s="82">
        <f t="shared" si="1"/>
        <v>0.35699999999999998</v>
      </c>
      <c r="J30" s="33">
        <v>976.9</v>
      </c>
      <c r="K30" s="33">
        <v>418.97</v>
      </c>
      <c r="L30" s="33">
        <v>393.8</v>
      </c>
      <c r="M30" s="33">
        <v>695.16</v>
      </c>
      <c r="N30" s="33">
        <v>301.36</v>
      </c>
      <c r="O30" s="82">
        <f t="shared" si="2"/>
        <v>0.434</v>
      </c>
      <c r="P30" s="33">
        <v>576</v>
      </c>
      <c r="Q30" s="33">
        <v>42.51</v>
      </c>
      <c r="R30" s="33">
        <v>82.25</v>
      </c>
      <c r="S30" s="33">
        <v>11.25</v>
      </c>
      <c r="T30" s="33">
        <v>14.98</v>
      </c>
      <c r="U30" s="33">
        <v>3.73</v>
      </c>
      <c r="V30" s="82">
        <f t="shared" si="3"/>
        <v>0.249</v>
      </c>
    </row>
    <row r="31" spans="1:22" x14ac:dyDescent="0.25">
      <c r="A31" s="20" t="s">
        <v>49</v>
      </c>
      <c r="B31" s="21" t="s">
        <v>88</v>
      </c>
      <c r="C31" s="70">
        <f t="shared" si="0"/>
        <v>0</v>
      </c>
      <c r="D31" s="33">
        <v>0</v>
      </c>
      <c r="E31" s="33">
        <v>0</v>
      </c>
      <c r="F31" s="33">
        <v>0</v>
      </c>
      <c r="G31" s="33">
        <v>0</v>
      </c>
      <c r="H31" s="33">
        <v>0</v>
      </c>
      <c r="I31" s="82">
        <f t="shared" si="1"/>
        <v>0</v>
      </c>
      <c r="J31" s="33">
        <v>95</v>
      </c>
      <c r="K31" s="33">
        <v>-368.32</v>
      </c>
      <c r="L31" s="33">
        <v>0</v>
      </c>
      <c r="M31" s="33">
        <v>0</v>
      </c>
      <c r="N31" s="33">
        <v>0</v>
      </c>
      <c r="O31" s="82">
        <f t="shared" si="2"/>
        <v>0</v>
      </c>
      <c r="P31" s="33">
        <v>0</v>
      </c>
      <c r="Q31" s="33">
        <v>0</v>
      </c>
      <c r="R31" s="33">
        <v>0</v>
      </c>
      <c r="S31" s="33">
        <v>0</v>
      </c>
      <c r="T31" s="33">
        <v>0</v>
      </c>
      <c r="U31" s="33">
        <v>0</v>
      </c>
      <c r="V31" s="82">
        <f t="shared" si="3"/>
        <v>0</v>
      </c>
    </row>
    <row r="32" spans="1:22" x14ac:dyDescent="0.25">
      <c r="A32" s="22" t="s">
        <v>46</v>
      </c>
      <c r="B32" s="23" t="s">
        <v>89</v>
      </c>
      <c r="C32" s="71">
        <f t="shared" si="0"/>
        <v>0.59518692296049647</v>
      </c>
      <c r="D32" s="34">
        <v>98.31</v>
      </c>
      <c r="E32" s="34">
        <v>28829.82</v>
      </c>
      <c r="F32" s="34">
        <v>1982.1</v>
      </c>
      <c r="G32" s="34">
        <v>2038.86</v>
      </c>
      <c r="H32" s="34">
        <v>56.76</v>
      </c>
      <c r="I32" s="83">
        <f t="shared" si="1"/>
        <v>2.8000000000000001E-2</v>
      </c>
      <c r="J32" s="34">
        <v>963.28</v>
      </c>
      <c r="K32" s="34">
        <v>28183.08</v>
      </c>
      <c r="L32" s="34">
        <v>25926.47</v>
      </c>
      <c r="M32" s="34">
        <v>25239.27</v>
      </c>
      <c r="N32" s="34">
        <v>-687.2</v>
      </c>
      <c r="O32" s="83">
        <f t="shared" si="2"/>
        <v>-2.7E-2</v>
      </c>
      <c r="P32" s="34">
        <v>2038</v>
      </c>
      <c r="Q32" s="34">
        <v>312.08</v>
      </c>
      <c r="R32" s="34">
        <v>29083.48</v>
      </c>
      <c r="S32" s="34">
        <v>12149.27</v>
      </c>
      <c r="T32" s="34">
        <v>12755.59</v>
      </c>
      <c r="U32" s="34">
        <v>606.32000000000005</v>
      </c>
      <c r="V32" s="83">
        <f t="shared" si="3"/>
        <v>4.8000000000000001E-2</v>
      </c>
    </row>
    <row r="33" spans="1:22" x14ac:dyDescent="0.25">
      <c r="A33" s="22" t="s">
        <v>48</v>
      </c>
      <c r="B33" s="23" t="s">
        <v>89</v>
      </c>
      <c r="C33" s="71">
        <f t="shared" si="0"/>
        <v>0</v>
      </c>
      <c r="D33" s="34">
        <v>0</v>
      </c>
      <c r="E33" s="34">
        <v>1656.69</v>
      </c>
      <c r="F33" s="34">
        <v>1238.0999999999999</v>
      </c>
      <c r="G33" s="34">
        <v>1237.1300000000001</v>
      </c>
      <c r="H33" s="34">
        <v>-0.97</v>
      </c>
      <c r="I33" s="83">
        <f t="shared" si="1"/>
        <v>-1E-3</v>
      </c>
      <c r="J33" s="34">
        <v>4246.5600000000004</v>
      </c>
      <c r="K33" s="34">
        <v>12508.59</v>
      </c>
      <c r="L33" s="34">
        <v>21742.67</v>
      </c>
      <c r="M33" s="34">
        <v>21743.07</v>
      </c>
      <c r="N33" s="34">
        <v>0.4</v>
      </c>
      <c r="O33" s="83">
        <f t="shared" si="2"/>
        <v>0</v>
      </c>
      <c r="P33" s="34">
        <v>1236</v>
      </c>
      <c r="Q33" s="34">
        <v>148.56</v>
      </c>
      <c r="R33" s="34">
        <v>2425.59</v>
      </c>
      <c r="S33" s="34">
        <v>570.39</v>
      </c>
      <c r="T33" s="34">
        <v>588.20000000000005</v>
      </c>
      <c r="U33" s="34">
        <v>17.809999999999999</v>
      </c>
      <c r="V33" s="83">
        <f t="shared" si="3"/>
        <v>0.03</v>
      </c>
    </row>
    <row r="34" spans="1:22" x14ac:dyDescent="0.25">
      <c r="A34" s="22" t="s">
        <v>49</v>
      </c>
      <c r="B34" s="23" t="s">
        <v>89</v>
      </c>
      <c r="C34" s="71">
        <f t="shared" si="0"/>
        <v>0</v>
      </c>
      <c r="D34" s="34">
        <v>0</v>
      </c>
      <c r="E34" s="34">
        <v>8627.2000000000007</v>
      </c>
      <c r="F34" s="34">
        <v>0</v>
      </c>
      <c r="G34" s="34">
        <v>0</v>
      </c>
      <c r="H34" s="34">
        <v>0</v>
      </c>
      <c r="I34" s="83">
        <f t="shared" si="1"/>
        <v>0</v>
      </c>
      <c r="J34" s="34">
        <v>0.35</v>
      </c>
      <c r="K34" s="34">
        <v>4880.71</v>
      </c>
      <c r="L34" s="34">
        <v>385.66</v>
      </c>
      <c r="M34" s="34">
        <v>386.3</v>
      </c>
      <c r="N34" s="34">
        <v>0.64</v>
      </c>
      <c r="O34" s="83">
        <f t="shared" si="2"/>
        <v>2E-3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83">
        <f t="shared" si="3"/>
        <v>0</v>
      </c>
    </row>
    <row r="35" spans="1:22" x14ac:dyDescent="0.25">
      <c r="A35" s="24" t="s">
        <v>46</v>
      </c>
      <c r="B35" s="25" t="s">
        <v>90</v>
      </c>
      <c r="C35" s="68">
        <f t="shared" si="0"/>
        <v>4.2609524161918158</v>
      </c>
      <c r="D35" s="79">
        <v>3070.84</v>
      </c>
      <c r="E35" s="79">
        <v>9881.1200000000008</v>
      </c>
      <c r="F35" s="79">
        <v>8648.32</v>
      </c>
      <c r="G35" s="79">
        <v>14303.36</v>
      </c>
      <c r="H35" s="79">
        <v>5655.04</v>
      </c>
      <c r="I35" s="80">
        <f t="shared" si="1"/>
        <v>0.39500000000000002</v>
      </c>
      <c r="J35" s="79">
        <v>5812.89</v>
      </c>
      <c r="K35" s="79">
        <v>10784.59</v>
      </c>
      <c r="L35" s="79">
        <v>11110.67</v>
      </c>
      <c r="M35" s="79">
        <v>18414.73</v>
      </c>
      <c r="N35" s="79">
        <v>7304.06</v>
      </c>
      <c r="O35" s="80">
        <f t="shared" si="2"/>
        <v>0.39700000000000002</v>
      </c>
      <c r="P35" s="79">
        <v>14306</v>
      </c>
      <c r="Q35" s="79">
        <v>8515.85</v>
      </c>
      <c r="R35" s="79">
        <v>6390.98</v>
      </c>
      <c r="S35" s="79">
        <v>10841.27</v>
      </c>
      <c r="T35" s="79">
        <v>16289.81</v>
      </c>
      <c r="U35" s="79">
        <v>5448.54</v>
      </c>
      <c r="V35" s="80">
        <f t="shared" si="3"/>
        <v>0.33400000000000002</v>
      </c>
    </row>
    <row r="36" spans="1:22" x14ac:dyDescent="0.25">
      <c r="A36" s="24" t="s">
        <v>48</v>
      </c>
      <c r="B36" s="25" t="s">
        <v>90</v>
      </c>
      <c r="C36" s="68">
        <f t="shared" si="0"/>
        <v>9.498513622215226</v>
      </c>
      <c r="D36" s="79">
        <v>2715.91</v>
      </c>
      <c r="E36" s="79">
        <v>4733.66</v>
      </c>
      <c r="F36" s="79">
        <v>3431.16</v>
      </c>
      <c r="G36" s="79">
        <v>5743.11</v>
      </c>
      <c r="H36" s="79">
        <v>2311.9499999999998</v>
      </c>
      <c r="I36" s="80">
        <f t="shared" si="1"/>
        <v>0.40300000000000002</v>
      </c>
      <c r="J36" s="79">
        <v>2226.8200000000002</v>
      </c>
      <c r="K36" s="79">
        <v>3252.45</v>
      </c>
      <c r="L36" s="79">
        <v>3492.15</v>
      </c>
      <c r="M36" s="79">
        <v>5736.41</v>
      </c>
      <c r="N36" s="79">
        <v>2244.2600000000002</v>
      </c>
      <c r="O36" s="80">
        <f t="shared" si="2"/>
        <v>0.39100000000000001</v>
      </c>
      <c r="P36" s="79">
        <v>5743</v>
      </c>
      <c r="Q36" s="79">
        <v>1609.3</v>
      </c>
      <c r="R36" s="79">
        <v>2551.84</v>
      </c>
      <c r="S36" s="79">
        <v>1481.78</v>
      </c>
      <c r="T36" s="79">
        <v>2356.2199999999998</v>
      </c>
      <c r="U36" s="79">
        <v>874.44</v>
      </c>
      <c r="V36" s="80">
        <f t="shared" si="3"/>
        <v>0.371</v>
      </c>
    </row>
    <row r="37" spans="1:22" x14ac:dyDescent="0.25">
      <c r="A37" s="24" t="s">
        <v>49</v>
      </c>
      <c r="B37" s="25" t="s">
        <v>90</v>
      </c>
      <c r="C37" s="68">
        <f t="shared" si="0"/>
        <v>0</v>
      </c>
      <c r="D37" s="79">
        <v>0</v>
      </c>
      <c r="E37" s="79">
        <v>0</v>
      </c>
      <c r="F37" s="79">
        <v>0</v>
      </c>
      <c r="G37" s="79">
        <v>0</v>
      </c>
      <c r="H37" s="79">
        <v>0</v>
      </c>
      <c r="I37" s="80">
        <f t="shared" si="1"/>
        <v>0</v>
      </c>
      <c r="J37" s="79">
        <v>0</v>
      </c>
      <c r="K37" s="79">
        <v>350.39</v>
      </c>
      <c r="L37" s="79">
        <v>96.83</v>
      </c>
      <c r="M37" s="79">
        <v>97.76</v>
      </c>
      <c r="N37" s="79">
        <v>0.93</v>
      </c>
      <c r="O37" s="80">
        <f t="shared" si="2"/>
        <v>0.01</v>
      </c>
      <c r="P37" s="79">
        <v>0</v>
      </c>
      <c r="Q37" s="79">
        <v>0</v>
      </c>
      <c r="R37" s="79">
        <v>0</v>
      </c>
      <c r="S37" s="79">
        <v>0</v>
      </c>
      <c r="T37" s="79">
        <v>0</v>
      </c>
      <c r="U37" s="79">
        <v>0</v>
      </c>
      <c r="V37" s="80">
        <f t="shared" si="3"/>
        <v>0</v>
      </c>
    </row>
    <row r="38" spans="1:22" x14ac:dyDescent="0.25">
      <c r="A38" s="26" t="s">
        <v>46</v>
      </c>
      <c r="B38" s="27" t="s">
        <v>91</v>
      </c>
      <c r="C38" s="73">
        <f t="shared" si="0"/>
        <v>4.0987412588205903</v>
      </c>
      <c r="D38" s="36">
        <v>12043.41</v>
      </c>
      <c r="E38" s="36">
        <v>38179.339999999997</v>
      </c>
      <c r="F38" s="36">
        <v>35259.83</v>
      </c>
      <c r="G38" s="36">
        <v>56752.98</v>
      </c>
      <c r="H38" s="36">
        <v>21493.15</v>
      </c>
      <c r="I38" s="85">
        <f t="shared" si="1"/>
        <v>0.379</v>
      </c>
      <c r="J38" s="36">
        <v>9592.26</v>
      </c>
      <c r="K38" s="36">
        <v>21662.560000000001</v>
      </c>
      <c r="L38" s="36">
        <v>25103.66</v>
      </c>
      <c r="M38" s="36">
        <v>37516.410000000003</v>
      </c>
      <c r="N38" s="36">
        <v>12412.75</v>
      </c>
      <c r="O38" s="85">
        <f t="shared" si="2"/>
        <v>0.33100000000000002</v>
      </c>
      <c r="P38" s="36">
        <v>56756</v>
      </c>
      <c r="Q38" s="36">
        <v>13170.13</v>
      </c>
      <c r="R38" s="36">
        <v>28507.75</v>
      </c>
      <c r="S38" s="36">
        <v>29068.54</v>
      </c>
      <c r="T38" s="36">
        <v>44207.89</v>
      </c>
      <c r="U38" s="36">
        <v>15139.35</v>
      </c>
      <c r="V38" s="85">
        <f t="shared" si="3"/>
        <v>0.34200000000000003</v>
      </c>
    </row>
    <row r="39" spans="1:22" x14ac:dyDescent="0.25">
      <c r="A39" s="26" t="s">
        <v>48</v>
      </c>
      <c r="B39" s="27" t="s">
        <v>91</v>
      </c>
      <c r="C39" s="73">
        <f t="shared" si="0"/>
        <v>3.6524156485171715</v>
      </c>
      <c r="D39" s="36">
        <v>5774.32</v>
      </c>
      <c r="E39" s="36">
        <v>18836.73</v>
      </c>
      <c r="F39" s="36">
        <v>18971.509999999998</v>
      </c>
      <c r="G39" s="36">
        <v>26867.66</v>
      </c>
      <c r="H39" s="36">
        <v>7896.15</v>
      </c>
      <c r="I39" s="85">
        <f t="shared" si="1"/>
        <v>0.29399999999999998</v>
      </c>
      <c r="J39" s="36">
        <v>7520.3</v>
      </c>
      <c r="K39" s="36">
        <v>17935.47</v>
      </c>
      <c r="L39" s="36">
        <v>20571.599999999999</v>
      </c>
      <c r="M39" s="36">
        <v>28903.41</v>
      </c>
      <c r="N39" s="36">
        <v>8331.81</v>
      </c>
      <c r="O39" s="85">
        <f t="shared" si="2"/>
        <v>0.28799999999999998</v>
      </c>
      <c r="P39" s="36">
        <v>26869</v>
      </c>
      <c r="Q39" s="36">
        <v>10564.47</v>
      </c>
      <c r="R39" s="36">
        <v>16450.55</v>
      </c>
      <c r="S39" s="36">
        <v>17055.849999999999</v>
      </c>
      <c r="T39" s="36">
        <v>24798.97</v>
      </c>
      <c r="U39" s="36">
        <v>7743.12</v>
      </c>
      <c r="V39" s="85">
        <f t="shared" si="3"/>
        <v>0.312</v>
      </c>
    </row>
    <row r="40" spans="1:22" x14ac:dyDescent="0.25">
      <c r="A40" s="26" t="s">
        <v>49</v>
      </c>
      <c r="B40" s="27" t="s">
        <v>91</v>
      </c>
      <c r="C40" s="73">
        <f t="shared" si="0"/>
        <v>0</v>
      </c>
      <c r="D40" s="36">
        <v>0</v>
      </c>
      <c r="E40" s="36">
        <v>0</v>
      </c>
      <c r="F40" s="36">
        <v>0</v>
      </c>
      <c r="G40" s="36">
        <v>0</v>
      </c>
      <c r="H40" s="36">
        <v>0</v>
      </c>
      <c r="I40" s="85">
        <f t="shared" si="1"/>
        <v>0</v>
      </c>
      <c r="J40" s="36">
        <v>0</v>
      </c>
      <c r="K40" s="36">
        <v>0</v>
      </c>
      <c r="L40" s="36">
        <v>0</v>
      </c>
      <c r="M40" s="36">
        <v>0</v>
      </c>
      <c r="N40" s="36">
        <v>0</v>
      </c>
      <c r="O40" s="85">
        <f t="shared" si="2"/>
        <v>0</v>
      </c>
      <c r="P40" s="36">
        <v>0</v>
      </c>
      <c r="Q40" s="36">
        <v>0</v>
      </c>
      <c r="R40" s="36">
        <v>0</v>
      </c>
      <c r="S40" s="36">
        <v>0</v>
      </c>
      <c r="T40" s="36">
        <v>0</v>
      </c>
      <c r="U40" s="36">
        <v>0</v>
      </c>
      <c r="V40" s="85">
        <f t="shared" si="3"/>
        <v>0</v>
      </c>
    </row>
    <row r="41" spans="1:22" x14ac:dyDescent="0.25">
      <c r="A41" s="28" t="s">
        <v>46</v>
      </c>
      <c r="B41" s="29" t="s">
        <v>92</v>
      </c>
      <c r="C41" s="74">
        <f t="shared" si="0"/>
        <v>0</v>
      </c>
      <c r="D41" s="37">
        <v>0</v>
      </c>
      <c r="E41" s="37">
        <v>0</v>
      </c>
      <c r="F41" s="37">
        <v>0</v>
      </c>
      <c r="G41" s="37">
        <v>0</v>
      </c>
      <c r="H41" s="37">
        <v>0</v>
      </c>
      <c r="I41" s="86">
        <f t="shared" si="1"/>
        <v>0</v>
      </c>
      <c r="J41" s="37">
        <v>0</v>
      </c>
      <c r="K41" s="37">
        <v>0</v>
      </c>
      <c r="L41" s="37">
        <v>0</v>
      </c>
      <c r="M41" s="37">
        <v>0</v>
      </c>
      <c r="N41" s="37">
        <v>0</v>
      </c>
      <c r="O41" s="86">
        <f t="shared" si="2"/>
        <v>0</v>
      </c>
      <c r="P41" s="37">
        <v>0</v>
      </c>
      <c r="Q41" s="37">
        <v>0</v>
      </c>
      <c r="R41" s="37">
        <v>0</v>
      </c>
      <c r="S41" s="37">
        <v>0</v>
      </c>
      <c r="T41" s="37">
        <v>0</v>
      </c>
      <c r="U41" s="37">
        <v>0</v>
      </c>
      <c r="V41" s="86">
        <f t="shared" si="3"/>
        <v>0</v>
      </c>
    </row>
    <row r="42" spans="1:22" x14ac:dyDescent="0.25">
      <c r="A42" s="28" t="s">
        <v>48</v>
      </c>
      <c r="B42" s="29" t="s">
        <v>92</v>
      </c>
      <c r="C42" s="74">
        <f t="shared" si="0"/>
        <v>0</v>
      </c>
      <c r="D42" s="37">
        <v>0</v>
      </c>
      <c r="E42" s="37">
        <v>0</v>
      </c>
      <c r="F42" s="37">
        <v>0</v>
      </c>
      <c r="G42" s="37">
        <v>0</v>
      </c>
      <c r="H42" s="37">
        <v>0</v>
      </c>
      <c r="I42" s="86">
        <f t="shared" si="1"/>
        <v>0</v>
      </c>
      <c r="J42" s="37">
        <v>0</v>
      </c>
      <c r="K42" s="37">
        <v>0</v>
      </c>
      <c r="L42" s="37">
        <v>0</v>
      </c>
      <c r="M42" s="37">
        <v>0</v>
      </c>
      <c r="N42" s="37">
        <v>0</v>
      </c>
      <c r="O42" s="86">
        <f t="shared" si="2"/>
        <v>0</v>
      </c>
      <c r="P42" s="37">
        <v>0</v>
      </c>
      <c r="Q42" s="37">
        <v>0</v>
      </c>
      <c r="R42" s="37">
        <v>0</v>
      </c>
      <c r="S42" s="37">
        <v>0</v>
      </c>
      <c r="T42" s="37">
        <v>0</v>
      </c>
      <c r="U42" s="37">
        <v>0</v>
      </c>
      <c r="V42" s="86">
        <f t="shared" si="3"/>
        <v>0</v>
      </c>
    </row>
    <row r="43" spans="1:22" x14ac:dyDescent="0.25">
      <c r="A43" s="28" t="s">
        <v>49</v>
      </c>
      <c r="B43" s="29" t="s">
        <v>92</v>
      </c>
      <c r="C43" s="74">
        <f t="shared" si="0"/>
        <v>0</v>
      </c>
      <c r="D43" s="37">
        <v>0</v>
      </c>
      <c r="E43" s="37">
        <v>0</v>
      </c>
      <c r="F43" s="37">
        <v>0</v>
      </c>
      <c r="G43" s="37">
        <v>0</v>
      </c>
      <c r="H43" s="37">
        <v>0</v>
      </c>
      <c r="I43" s="86">
        <f t="shared" si="1"/>
        <v>0</v>
      </c>
      <c r="J43" s="37">
        <v>0</v>
      </c>
      <c r="K43" s="37">
        <v>0</v>
      </c>
      <c r="L43" s="37">
        <v>0</v>
      </c>
      <c r="M43" s="37">
        <v>0</v>
      </c>
      <c r="N43" s="37">
        <v>0</v>
      </c>
      <c r="O43" s="86">
        <f t="shared" si="2"/>
        <v>0</v>
      </c>
      <c r="P43" s="37">
        <v>0</v>
      </c>
      <c r="Q43" s="37">
        <v>0</v>
      </c>
      <c r="R43" s="37">
        <v>0</v>
      </c>
      <c r="S43" s="37">
        <v>0</v>
      </c>
      <c r="T43" s="37">
        <v>0</v>
      </c>
      <c r="U43" s="37">
        <v>0</v>
      </c>
      <c r="V43" s="86">
        <f t="shared" si="3"/>
        <v>0</v>
      </c>
    </row>
    <row r="44" spans="1:22" x14ac:dyDescent="0.25">
      <c r="A44" s="41" t="s">
        <v>46</v>
      </c>
      <c r="B44" s="42" t="s">
        <v>93</v>
      </c>
      <c r="C44" s="67">
        <f t="shared" si="0"/>
        <v>0.70581140663890929</v>
      </c>
      <c r="D44" s="31">
        <v>8426.99</v>
      </c>
      <c r="E44" s="31">
        <v>141956.04</v>
      </c>
      <c r="F44" s="31">
        <v>143273.23000000001</v>
      </c>
      <c r="G44" s="31">
        <v>208283.87</v>
      </c>
      <c r="H44" s="31">
        <v>65010.64</v>
      </c>
      <c r="I44" s="91">
        <f t="shared" si="1"/>
        <v>0.312</v>
      </c>
      <c r="J44" s="31">
        <v>-36.770000000000003</v>
      </c>
      <c r="K44" s="31">
        <v>97829.93</v>
      </c>
      <c r="L44" s="31">
        <v>106758.51</v>
      </c>
      <c r="M44" s="31">
        <v>153462.22</v>
      </c>
      <c r="N44" s="31">
        <v>46703.71</v>
      </c>
      <c r="O44" s="91">
        <f t="shared" si="2"/>
        <v>0.30399999999999999</v>
      </c>
      <c r="P44" s="31">
        <v>208316</v>
      </c>
      <c r="Q44" s="31">
        <v>-276.33</v>
      </c>
      <c r="R44" s="31">
        <v>114589.16</v>
      </c>
      <c r="S44" s="31">
        <v>115361.2</v>
      </c>
      <c r="T44" s="31">
        <v>170453.88</v>
      </c>
      <c r="U44" s="31">
        <v>55092.68</v>
      </c>
      <c r="V44" s="91">
        <f t="shared" si="3"/>
        <v>0.32300000000000001</v>
      </c>
    </row>
    <row r="45" spans="1:22" x14ac:dyDescent="0.25">
      <c r="A45" s="41" t="s">
        <v>48</v>
      </c>
      <c r="B45" s="42" t="s">
        <v>93</v>
      </c>
      <c r="C45" s="67">
        <f t="shared" si="0"/>
        <v>7.7228875329062502E-2</v>
      </c>
      <c r="D45" s="31">
        <v>135.34</v>
      </c>
      <c r="E45" s="31">
        <v>21603.69</v>
      </c>
      <c r="F45" s="31">
        <v>21029.439999999999</v>
      </c>
      <c r="G45" s="31">
        <v>28799.8</v>
      </c>
      <c r="H45" s="31">
        <v>7770.36</v>
      </c>
      <c r="I45" s="91">
        <f t="shared" si="1"/>
        <v>0.27</v>
      </c>
      <c r="J45" s="31">
        <v>331.44</v>
      </c>
      <c r="K45" s="31">
        <v>30058.14</v>
      </c>
      <c r="L45" s="31">
        <v>29743.98</v>
      </c>
      <c r="M45" s="31">
        <v>37676.07</v>
      </c>
      <c r="N45" s="31">
        <v>7932.09</v>
      </c>
      <c r="O45" s="91">
        <f t="shared" si="2"/>
        <v>0.21099999999999999</v>
      </c>
      <c r="P45" s="31">
        <v>28807</v>
      </c>
      <c r="Q45" s="31">
        <v>396.6</v>
      </c>
      <c r="R45" s="31">
        <v>19358.98</v>
      </c>
      <c r="S45" s="31">
        <v>19020.25</v>
      </c>
      <c r="T45" s="31">
        <v>24306.43</v>
      </c>
      <c r="U45" s="31">
        <v>5286.18</v>
      </c>
      <c r="V45" s="91">
        <f t="shared" si="3"/>
        <v>0.217</v>
      </c>
    </row>
    <row r="46" spans="1:22" x14ac:dyDescent="0.25">
      <c r="A46" s="41" t="s">
        <v>49</v>
      </c>
      <c r="B46" s="42" t="s">
        <v>93</v>
      </c>
      <c r="C46" s="67">
        <f t="shared" si="0"/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91">
        <f t="shared" si="1"/>
        <v>0</v>
      </c>
      <c r="J46" s="31">
        <v>0</v>
      </c>
      <c r="K46" s="31">
        <v>0</v>
      </c>
      <c r="L46" s="31">
        <v>4.43</v>
      </c>
      <c r="M46" s="31">
        <v>5.98</v>
      </c>
      <c r="N46" s="31">
        <v>1.55</v>
      </c>
      <c r="O46" s="91">
        <f t="shared" si="2"/>
        <v>0.25900000000000001</v>
      </c>
      <c r="P46" s="31">
        <v>0</v>
      </c>
      <c r="Q46" s="31">
        <v>0</v>
      </c>
      <c r="R46" s="31">
        <v>0</v>
      </c>
      <c r="S46" s="31">
        <v>0</v>
      </c>
      <c r="T46" s="31">
        <v>0</v>
      </c>
      <c r="U46" s="31">
        <v>0</v>
      </c>
      <c r="V46" s="91">
        <f t="shared" si="3"/>
        <v>0</v>
      </c>
    </row>
    <row r="47" spans="1:22" x14ac:dyDescent="0.25">
      <c r="A47" s="18" t="s">
        <v>46</v>
      </c>
      <c r="B47" s="19" t="s">
        <v>94</v>
      </c>
      <c r="C47" s="69">
        <f t="shared" si="0"/>
        <v>10.956284746505936</v>
      </c>
      <c r="D47" s="32">
        <v>17989.689999999999</v>
      </c>
      <c r="E47" s="32">
        <v>3649.72</v>
      </c>
      <c r="F47" s="32">
        <v>19703.419999999998</v>
      </c>
      <c r="G47" s="32">
        <v>18109.810000000001</v>
      </c>
      <c r="H47" s="32">
        <v>-1593.61</v>
      </c>
      <c r="I47" s="81">
        <f t="shared" si="1"/>
        <v>-8.7999999999999995E-2</v>
      </c>
      <c r="J47" s="32">
        <v>14201.45</v>
      </c>
      <c r="K47" s="32">
        <v>5379.34</v>
      </c>
      <c r="L47" s="32">
        <v>4395.74</v>
      </c>
      <c r="M47" s="32">
        <v>8728.0400000000009</v>
      </c>
      <c r="N47" s="32">
        <v>4332.3</v>
      </c>
      <c r="O47" s="81">
        <f t="shared" si="2"/>
        <v>0.496</v>
      </c>
      <c r="P47" s="32">
        <v>18708</v>
      </c>
      <c r="Q47" s="32">
        <v>10782.67</v>
      </c>
      <c r="R47" s="32">
        <v>17856.39</v>
      </c>
      <c r="S47" s="32">
        <v>10708.43</v>
      </c>
      <c r="T47" s="32">
        <v>15481.71</v>
      </c>
      <c r="U47" s="32">
        <v>4773.28</v>
      </c>
      <c r="V47" s="81">
        <f t="shared" si="3"/>
        <v>0.308</v>
      </c>
    </row>
    <row r="48" spans="1:22" x14ac:dyDescent="0.25">
      <c r="A48" s="52" t="s">
        <v>48</v>
      </c>
      <c r="B48" s="19" t="s">
        <v>94</v>
      </c>
      <c r="C48" s="69">
        <f t="shared" si="0"/>
        <v>22.953409022886444</v>
      </c>
      <c r="D48" s="32">
        <v>6710.41</v>
      </c>
      <c r="E48" s="32">
        <v>-179</v>
      </c>
      <c r="F48" s="32">
        <v>3508.19</v>
      </c>
      <c r="G48" s="32">
        <v>4020.54</v>
      </c>
      <c r="H48" s="32">
        <v>512.35</v>
      </c>
      <c r="I48" s="81">
        <f t="shared" si="1"/>
        <v>0.127</v>
      </c>
      <c r="J48" s="32">
        <v>3539.1</v>
      </c>
      <c r="K48" s="32">
        <v>758.66</v>
      </c>
      <c r="L48" s="32">
        <v>1537.3</v>
      </c>
      <c r="M48" s="32">
        <v>1957.6</v>
      </c>
      <c r="N48" s="32">
        <v>420.3</v>
      </c>
      <c r="O48" s="81">
        <f t="shared" si="2"/>
        <v>0.215</v>
      </c>
      <c r="P48" s="32">
        <v>4018</v>
      </c>
      <c r="Q48" s="32">
        <v>6582.96</v>
      </c>
      <c r="R48" s="32">
        <v>2741.27</v>
      </c>
      <c r="S48" s="32">
        <v>2397.96</v>
      </c>
      <c r="T48" s="32">
        <v>3875.67</v>
      </c>
      <c r="U48" s="32">
        <v>1477.71</v>
      </c>
      <c r="V48" s="81">
        <f t="shared" si="3"/>
        <v>0.38100000000000001</v>
      </c>
    </row>
    <row r="49" spans="1:22" ht="15.75" thickBot="1" x14ac:dyDescent="0.3">
      <c r="A49" s="43" t="s">
        <v>49</v>
      </c>
      <c r="B49" s="53" t="s">
        <v>94</v>
      </c>
      <c r="C49" s="65">
        <f t="shared" si="0"/>
        <v>22.041148207465813</v>
      </c>
      <c r="D49" s="75">
        <v>149.09</v>
      </c>
      <c r="E49" s="75">
        <v>30.31</v>
      </c>
      <c r="F49" s="75">
        <v>81.17</v>
      </c>
      <c r="G49" s="75">
        <v>117.69</v>
      </c>
      <c r="H49" s="75">
        <v>36.520000000000003</v>
      </c>
      <c r="I49" s="92">
        <f t="shared" si="1"/>
        <v>0.31</v>
      </c>
      <c r="J49" s="75">
        <v>218.2</v>
      </c>
      <c r="K49" s="75">
        <v>652.09</v>
      </c>
      <c r="L49" s="75">
        <v>228.4</v>
      </c>
      <c r="M49" s="75">
        <v>399.84</v>
      </c>
      <c r="N49" s="75">
        <v>171.44</v>
      </c>
      <c r="O49" s="92">
        <f t="shared" si="2"/>
        <v>0.42899999999999999</v>
      </c>
      <c r="P49" s="75">
        <v>118</v>
      </c>
      <c r="Q49" s="75">
        <v>0</v>
      </c>
      <c r="R49" s="75">
        <v>0</v>
      </c>
      <c r="S49" s="75">
        <v>0</v>
      </c>
      <c r="T49" s="75">
        <v>0</v>
      </c>
      <c r="U49" s="75">
        <v>0</v>
      </c>
      <c r="V49" s="92">
        <f t="shared" si="3"/>
        <v>0</v>
      </c>
    </row>
    <row r="50" spans="1:22" s="3" customFormat="1" ht="15.75" thickBot="1" x14ac:dyDescent="0.3">
      <c r="A50" s="2"/>
      <c r="B50" s="87" t="s">
        <v>59</v>
      </c>
      <c r="C50" s="89">
        <f t="shared" si="0"/>
        <v>5.9190793695547743</v>
      </c>
      <c r="D50" s="6">
        <f>SUM(D2:D49)</f>
        <v>796976.03000000014</v>
      </c>
      <c r="E50" s="6">
        <f>SUM(E2:E49)</f>
        <v>1630393.9399999997</v>
      </c>
      <c r="F50" s="6">
        <f>SUM(F2:F49)</f>
        <v>1615743.22</v>
      </c>
      <c r="G50" s="6">
        <f>SUM(G2:G49)</f>
        <v>2622468.649999999</v>
      </c>
      <c r="H50" s="63">
        <f>SUM(H2:H49)</f>
        <v>1006725.4300000003</v>
      </c>
      <c r="I50" s="90">
        <f t="shared" si="1"/>
        <v>0.38400000000000001</v>
      </c>
      <c r="J50" s="63">
        <f t="shared" ref="J50:U50" si="4">SUM(J2:J49)</f>
        <v>709941.82999999984</v>
      </c>
      <c r="K50" s="63">
        <f t="shared" si="4"/>
        <v>1652956.7</v>
      </c>
      <c r="L50" s="63">
        <f t="shared" si="4"/>
        <v>1585592.2799999998</v>
      </c>
      <c r="M50" s="63">
        <f t="shared" si="4"/>
        <v>2548880.5699999994</v>
      </c>
      <c r="N50" s="63">
        <f t="shared" si="4"/>
        <v>963288.29000000015</v>
      </c>
      <c r="O50" s="90">
        <f t="shared" si="2"/>
        <v>0.378</v>
      </c>
      <c r="P50" s="63">
        <f t="shared" si="4"/>
        <v>2623342</v>
      </c>
      <c r="Q50" s="63">
        <f t="shared" si="4"/>
        <v>595173.90999999992</v>
      </c>
      <c r="R50" s="63">
        <f t="shared" si="4"/>
        <v>1580433.4700000002</v>
      </c>
      <c r="S50" s="63">
        <f t="shared" si="4"/>
        <v>1613095.4999999998</v>
      </c>
      <c r="T50" s="63">
        <f t="shared" si="4"/>
        <v>2610471.7400000007</v>
      </c>
      <c r="U50" s="63">
        <f t="shared" si="4"/>
        <v>997376.24</v>
      </c>
      <c r="V50" s="90">
        <f t="shared" si="3"/>
        <v>0.38200000000000001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2038a5a-3fc4-40af-8260-1c5fe5fb60bd" xsi:nil="true"/>
    <lcf76f155ced4ddcb4097134ff3c332f xmlns="c4cbda83-3045-4fd9-bcf0-888e82136e1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0B3F37EF31D1419D62A53981C574C6" ma:contentTypeVersion="12" ma:contentTypeDescription="Create a new document." ma:contentTypeScope="" ma:versionID="e03846ca220919476ac20d7d6819d653">
  <xsd:schema xmlns:xsd="http://www.w3.org/2001/XMLSchema" xmlns:xs="http://www.w3.org/2001/XMLSchema" xmlns:p="http://schemas.microsoft.com/office/2006/metadata/properties" xmlns:ns2="c4cbda83-3045-4fd9-bcf0-888e82136e14" xmlns:ns3="62038a5a-3fc4-40af-8260-1c5fe5fb60bd" targetNamespace="http://schemas.microsoft.com/office/2006/metadata/properties" ma:root="true" ma:fieldsID="b3e5f082d3e52ae08c19caade7954095" ns2:_="" ns3:_="">
    <xsd:import namespace="c4cbda83-3045-4fd9-bcf0-888e82136e14"/>
    <xsd:import namespace="62038a5a-3fc4-40af-8260-1c5fe5fb60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cbda83-3045-4fd9-bcf0-888e82136e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4ba8e89-6987-408d-899d-94f94b5e352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038a5a-3fc4-40af-8260-1c5fe5fb60b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866fec0-9f8e-47eb-89dd-7cf60b98d1c5}" ma:internalName="TaxCatchAll" ma:showField="CatchAllData" ma:web="62038a5a-3fc4-40af-8260-1c5fe5fb60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9CE76C-7D19-446B-A697-A8D525DAEF1A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62038a5a-3fc4-40af-8260-1c5fe5fb60bd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c4cbda83-3045-4fd9-bcf0-888e82136e14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1B45364-66C3-40C8-9A6E-0040C1AD3C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cbda83-3045-4fd9-bcf0-888e82136e14"/>
    <ds:schemaRef ds:uri="62038a5a-3fc4-40af-8260-1c5fe5fb60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3A0757-26A7-43F4-BF2B-AB3E8EAB159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December 2025 - Dashboard</vt:lpstr>
      <vt:lpstr>BM -ALL- Stock</vt:lpstr>
      <vt:lpstr>L - All</vt:lpstr>
      <vt:lpstr>L - Stock</vt:lpstr>
      <vt:lpstr>L - SO</vt:lpstr>
      <vt:lpstr>M - All</vt:lpstr>
      <vt:lpstr>M - Stock</vt:lpstr>
      <vt:lpstr>M - SO</vt:lpstr>
      <vt:lpstr>HW - All</vt:lpstr>
      <vt:lpstr>HW - Stock</vt:lpstr>
      <vt:lpstr>HW - SO</vt:lpstr>
      <vt:lpstr>P - All</vt:lpstr>
      <vt:lpstr>P - Stock</vt:lpstr>
      <vt:lpstr>P - SO</vt:lpstr>
      <vt:lpstr>OL - All</vt:lpstr>
      <vt:lpstr>OL - Stock</vt:lpstr>
      <vt:lpstr>OL - SO</vt:lpstr>
      <vt:lpstr>'P - All'!Print_Area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tucke</dc:creator>
  <cp:keywords/>
  <dc:description/>
  <cp:lastModifiedBy>Joe Young</cp:lastModifiedBy>
  <cp:revision/>
  <cp:lastPrinted>2025-10-06T14:01:21Z</cp:lastPrinted>
  <dcterms:created xsi:type="dcterms:W3CDTF">2024-04-30T13:33:34Z</dcterms:created>
  <dcterms:modified xsi:type="dcterms:W3CDTF">2026-01-07T15:49:50Z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0x0101003B0B3F37EF31D1419D62A53981C574C6</vt:lpwstr>
  </property>
  <property fmtid="{D5CDD505-2E9C-101B-9397-08002B2CF9AE}" pid="3" name="MediaServiceImageTags">
    <vt:lpwstr/>
  </property>
</Properties>
</file>